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d.docs.live.net/98a6ade200dd9c71/Documents/DWA Board/"/>
    </mc:Choice>
  </mc:AlternateContent>
  <xr:revisionPtr revIDLastSave="784" documentId="8_{E5AC5DEC-8702-4D05-9EB9-B4143A2F05F0}" xr6:coauthVersionLast="47" xr6:coauthVersionMax="47" xr10:uidLastSave="{A5E3E887-F155-404C-B05B-5452F551A58C}"/>
  <bookViews>
    <workbookView xWindow="-120" yWindow="-120" windowWidth="29040" windowHeight="15840" xr2:uid="{7C37299C-8A28-4C6E-8776-48196C65DFE2}"/>
  </bookViews>
  <sheets>
    <sheet name="2024-25 Proposed Budget" sheetId="3" r:id="rId1"/>
    <sheet name="2024-25 Budget Detail Sheet" sheetId="1" r:id="rId2"/>
  </sheets>
  <definedNames>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'2024-25 Budget Detail Sheet'!$B$2:$M$181</definedName>
    <definedName name="_xlnm.Print_Area" localSheetId="0">'2024-25 Proposed Budget'!$B$2:$K$164</definedName>
    <definedName name="_xlnm.Print_Titles" localSheetId="1">'2024-25 Budget Detail Sheet'!$A:$F,'2024-25 Budget Detail Sheet'!$3:$3</definedName>
    <definedName name="_xlnm.Print_Titles" localSheetId="0">'2024-25 Proposed Budget'!$A:$F,'2024-25 Proposed Budget'!$2:$2</definedName>
    <definedName name="QB_BASIS_4" localSheetId="1" hidden="1">'2024-25 Budget Detail Sheet'!#REF!</definedName>
    <definedName name="QB_BASIS_4" localSheetId="0" hidden="1">'2024-25 Proposed Budget'!#REF!</definedName>
    <definedName name="QB_COLUMN_222100" localSheetId="1" hidden="1">'2024-25 Budget Detail Sheet'!$I$3</definedName>
    <definedName name="QB_COLUMN_222100" localSheetId="0" hidden="1">'2024-25 Proposed Budget'!$H$2</definedName>
    <definedName name="QB_COLUMN_242100" localSheetId="1" hidden="1">'2024-25 Budget Detail Sheet'!#REF!</definedName>
    <definedName name="QB_COLUMN_242100" localSheetId="0" hidden="1">'2024-25 Proposed Budget'!#REF!</definedName>
    <definedName name="QB_COLUMN_252100" localSheetId="1" hidden="1">'2024-25 Budget Detail Sheet'!#REF!</definedName>
    <definedName name="QB_COLUMN_252100" localSheetId="0" hidden="1">'2024-25 Proposed Budget'!#REF!</definedName>
    <definedName name="QB_COLUMN_262100" localSheetId="1" hidden="1">'2024-25 Budget Detail Sheet'!#REF!</definedName>
    <definedName name="QB_COLUMN_262100" localSheetId="0" hidden="1">'2024-25 Proposed Budget'!#REF!</definedName>
    <definedName name="QB_COLUMN_423010" localSheetId="1" hidden="1">'2024-25 Budget Detail Sheet'!#REF!</definedName>
    <definedName name="QB_COLUMN_423010" localSheetId="0" hidden="1">'2024-25 Proposed Budget'!#REF!</definedName>
    <definedName name="QB_COLUMN_592022" localSheetId="1" hidden="1">'2024-25 Budget Detail Sheet'!$I$3</definedName>
    <definedName name="QB_COLUMN_592022" localSheetId="0" hidden="1">'2024-25 Proposed Budget'!$H$2</definedName>
    <definedName name="QB_COLUMN_592024" localSheetId="1" hidden="1">'2024-25 Budget Detail Sheet'!#REF!</definedName>
    <definedName name="QB_COLUMN_592024" localSheetId="0" hidden="1">'2024-25 Proposed Budget'!#REF!</definedName>
    <definedName name="QB_COLUMN_592025" localSheetId="1" hidden="1">'2024-25 Budget Detail Sheet'!#REF!</definedName>
    <definedName name="QB_COLUMN_592025" localSheetId="0" hidden="1">'2024-25 Proposed Budget'!#REF!</definedName>
    <definedName name="QB_COLUMN_592026" localSheetId="1" hidden="1">'2024-25 Budget Detail Sheet'!#REF!</definedName>
    <definedName name="QB_COLUMN_592026" localSheetId="0" hidden="1">'2024-25 Proposed Budget'!#REF!</definedName>
    <definedName name="QB_COLUMN_59300" localSheetId="1" hidden="1">'2024-25 Budget Detail Sheet'!#REF!</definedName>
    <definedName name="QB_COLUMN_59300" localSheetId="0" hidden="1">'2024-25 Proposed Budget'!#REF!</definedName>
    <definedName name="QB_COLUMN_64420" localSheetId="1" hidden="1">'2024-25 Budget Detail Sheet'!#REF!</definedName>
    <definedName name="QB_COLUMN_64420" localSheetId="0" hidden="1">'2024-25 Proposed Budget'!#REF!</definedName>
    <definedName name="QB_COLUMN_644222" localSheetId="1" hidden="1">'2024-25 Budget Detail Sheet'!#REF!</definedName>
    <definedName name="QB_COLUMN_644222" localSheetId="0" hidden="1">'2024-25 Proposed Budget'!#REF!</definedName>
    <definedName name="QB_COLUMN_644224" localSheetId="1" hidden="1">'2024-25 Budget Detail Sheet'!#REF!</definedName>
    <definedName name="QB_COLUMN_644224" localSheetId="0" hidden="1">'2024-25 Proposed Budget'!#REF!</definedName>
    <definedName name="QB_COLUMN_644225" localSheetId="1" hidden="1">'2024-25 Budget Detail Sheet'!#REF!</definedName>
    <definedName name="QB_COLUMN_644225" localSheetId="0" hidden="1">'2024-25 Proposed Budget'!#REF!</definedName>
    <definedName name="QB_COLUMN_644226" localSheetId="1" hidden="1">'2024-25 Budget Detail Sheet'!#REF!</definedName>
    <definedName name="QB_COLUMN_644226" localSheetId="0" hidden="1">'2024-25 Proposed Budget'!#REF!</definedName>
    <definedName name="QB_COLUMN_762122" localSheetId="1" hidden="1">'2024-25 Budget Detail Sheet'!$J$3</definedName>
    <definedName name="QB_COLUMN_762122" localSheetId="0" hidden="1">'2024-25 Proposed Budget'!#REF!</definedName>
    <definedName name="QB_COLUMN_762124" localSheetId="1" hidden="1">'2024-25 Budget Detail Sheet'!#REF!</definedName>
    <definedName name="QB_COLUMN_762124" localSheetId="0" hidden="1">'2024-25 Proposed Budget'!#REF!</definedName>
    <definedName name="QB_COLUMN_762125" localSheetId="1" hidden="1">'2024-25 Budget Detail Sheet'!#REF!</definedName>
    <definedName name="QB_COLUMN_762125" localSheetId="0" hidden="1">'2024-25 Proposed Budget'!#REF!</definedName>
    <definedName name="QB_COLUMN_762126" localSheetId="1" hidden="1">'2024-25 Budget Detail Sheet'!#REF!</definedName>
    <definedName name="QB_COLUMN_762126" localSheetId="0" hidden="1">'2024-25 Proposed Budget'!#REF!</definedName>
    <definedName name="QB_COLUMN_76310" localSheetId="1" hidden="1">'2024-25 Budget Detail Sheet'!#REF!</definedName>
    <definedName name="QB_COLUMN_76310" localSheetId="0" hidden="1">'2024-25 Proposed Budget'!#REF!</definedName>
    <definedName name="QB_COMPANY_0" localSheetId="1" hidden="1">'2024-25 Budget Detail Sheet'!#REF!</definedName>
    <definedName name="QB_COMPANY_0" localSheetId="0" hidden="1">'2024-25 Proposed Budget'!#REF!</definedName>
    <definedName name="QB_DATA_0" localSheetId="1" hidden="1">'2024-25 Budget Detail Sheet'!$4:$4,'2024-25 Budget Detail Sheet'!$6:$6,'2024-25 Budget Detail Sheet'!$7:$7,'2024-25 Budget Detail Sheet'!$9:$9,'2024-25 Budget Detail Sheet'!#REF!,'2024-25 Budget Detail Sheet'!#REF!,'2024-25 Budget Detail Sheet'!$11:$11,'2024-25 Budget Detail Sheet'!$12:$12,'2024-25 Budget Detail Sheet'!$13:$13,'2024-25 Budget Detail Sheet'!$14:$14,'2024-25 Budget Detail Sheet'!$15:$15,'2024-25 Budget Detail Sheet'!$16:$16,'2024-25 Budget Detail Sheet'!$18:$18,'2024-25 Budget Detail Sheet'!#REF!,'2024-25 Budget Detail Sheet'!#REF!,'2024-25 Budget Detail Sheet'!#REF!</definedName>
    <definedName name="QB_DATA_0" localSheetId="0" hidden="1">'2024-25 Proposed Budget'!$3:$3,'2024-25 Proposed Budget'!$5:$5,'2024-25 Proposed Budget'!$6:$6,'2024-25 Proposed Budget'!$8:$8,'2024-25 Proposed Budget'!#REF!,'2024-25 Proposed Budget'!#REF!,'2024-25 Proposed Budget'!$10:$10,'2024-25 Proposed Budget'!$11:$11,'2024-25 Proposed Budget'!$12:$12,'2024-25 Proposed Budget'!$13:$13,'2024-25 Proposed Budget'!$14:$14,'2024-25 Proposed Budget'!$15:$15,'2024-25 Proposed Budget'!$17:$17,'2024-25 Proposed Budget'!#REF!,'2024-25 Proposed Budget'!#REF!,'2024-25 Proposed Budget'!#REF!</definedName>
    <definedName name="QB_DATA_1" localSheetId="1" hidden="1">'2024-25 Budget Detail Sheet'!$20:$20,'2024-25 Budget Detail Sheet'!$21:$21,'2024-25 Budget Detail Sheet'!#REF!,'2024-25 Budget Detail Sheet'!#REF!,'2024-25 Budget Detail Sheet'!$24:$24,'2024-25 Budget Detail Sheet'!$25:$25,'2024-25 Budget Detail Sheet'!$30:$30,'2024-25 Budget Detail Sheet'!$31:$31,'2024-25 Budget Detail Sheet'!$32:$32,'2024-25 Budget Detail Sheet'!$33:$33,'2024-25 Budget Detail Sheet'!$37:$37,'2024-25 Budget Detail Sheet'!$38:$38,'2024-25 Budget Detail Sheet'!$40:$40,'2024-25 Budget Detail Sheet'!$41:$41,'2024-25 Budget Detail Sheet'!$42:$42,'2024-25 Budget Detail Sheet'!$44:$44</definedName>
    <definedName name="QB_DATA_1" localSheetId="0" hidden="1">'2024-25 Proposed Budget'!$19:$19,'2024-25 Proposed Budget'!$20:$20,'2024-25 Proposed Budget'!#REF!,'2024-25 Proposed Budget'!#REF!,'2024-25 Proposed Budget'!$23:$23,'2024-25 Proposed Budget'!#REF!,'2024-25 Proposed Budget'!$28:$28,'2024-25 Proposed Budget'!$29:$29,'2024-25 Proposed Budget'!$30:$30,'2024-25 Proposed Budget'!$31:$31,'2024-25 Proposed Budget'!$35:$35,'2024-25 Proposed Budget'!$36:$36,'2024-25 Proposed Budget'!$38:$38,'2024-25 Proposed Budget'!$39:$39,'2024-25 Proposed Budget'!$40:$40,'2024-25 Proposed Budget'!$42:$42</definedName>
    <definedName name="QB_DATA_2" localSheetId="1" hidden="1">'2024-25 Budget Detail Sheet'!$45:$45,'2024-25 Budget Detail Sheet'!$46:$46,'2024-25 Budget Detail Sheet'!$48:$48,'2024-25 Budget Detail Sheet'!$51:$51,'2024-25 Budget Detail Sheet'!$52:$52,'2024-25 Budget Detail Sheet'!$53:$53,'2024-25 Budget Detail Sheet'!$55:$55,'2024-25 Budget Detail Sheet'!$56:$56,'2024-25 Budget Detail Sheet'!$57:$57,'2024-25 Budget Detail Sheet'!$59:$59,'2024-25 Budget Detail Sheet'!$60:$60,'2024-25 Budget Detail Sheet'!$61:$61,'2024-25 Budget Detail Sheet'!$63:$63,'2024-25 Budget Detail Sheet'!$64:$64,'2024-25 Budget Detail Sheet'!$65:$65,'2024-25 Budget Detail Sheet'!#REF!</definedName>
    <definedName name="QB_DATA_2" localSheetId="0" hidden="1">'2024-25 Proposed Budget'!$43:$43,'2024-25 Proposed Budget'!$44:$44,'2024-25 Proposed Budget'!$46:$46,'2024-25 Proposed Budget'!$49:$49,'2024-25 Proposed Budget'!$50:$50,'2024-25 Proposed Budget'!$51:$51,'2024-25 Proposed Budget'!$53:$53,'2024-25 Proposed Budget'!$54:$54,'2024-25 Proposed Budget'!$55:$55,'2024-25 Proposed Budget'!$57:$57,'2024-25 Proposed Budget'!$58:$58,'2024-25 Proposed Budget'!$59:$59,'2024-25 Proposed Budget'!$61:$61,'2024-25 Proposed Budget'!$62:$62,'2024-25 Proposed Budget'!$63:$63,'2024-25 Proposed Budget'!#REF!</definedName>
    <definedName name="QB_DATA_3" localSheetId="1" hidden="1">'2024-25 Budget Detail Sheet'!$68:$68,'2024-25 Budget Detail Sheet'!$69:$69,'2024-25 Budget Detail Sheet'!$70:$70,'2024-25 Budget Detail Sheet'!$71:$71,'2024-25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DATA_3" localSheetId="0" hidden="1">'2024-25 Proposed Budget'!$66:$66,'2024-25 Proposed Budget'!$67:$67,'2024-25 Proposed Budget'!$68:$68,'2024-25 Proposed Budget'!$69:$69,'2024-25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DATA_4" localSheetId="1" hidden="1">'2024-25 Budget Detail Sheet'!#REF!</definedName>
    <definedName name="QB_DATA_4" localSheetId="0" hidden="1">'2024-25 Proposed Budget'!#REF!</definedName>
    <definedName name="QB_DATE_1" localSheetId="1" hidden="1">'2024-25 Budget Detail Sheet'!#REF!</definedName>
    <definedName name="QB_DATE_1" localSheetId="0" hidden="1">'2024-25 Proposed Budget'!#REF!</definedName>
    <definedName name="QB_FORMULA_0"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0"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1" localSheetId="1" hidden="1">'2024-25 Budget Detail Sheet'!$I$8,'2024-25 Budget Detail Sheet'!$J$8,'2024-25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1" localSheetId="0" hidden="1">'2024-25 Proposed Budget'!$H$7,'2024-25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10" localSheetId="1" hidden="1">'2024-25 Budget Detail Sheet'!#REF!,'2024-25 Budget Detail Sheet'!#REF!,'2024-25 Budget Detail Sheet'!#REF!,'2024-25 Budget Detail Sheet'!$I$26,'2024-25 Budget Detail Sheet'!$J$26,'2024-25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10" localSheetId="0" hidden="1">'2024-25 Proposed Budget'!#REF!,'2024-25 Proposed Budget'!#REF!,'2024-25 Proposed Budget'!#REF!,'2024-25 Proposed Budget'!$H$24,'2024-25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11" localSheetId="1" hidden="1">'2024-25 Budget Detail Sheet'!$I$27,'2024-25 Budget Detail Sheet'!$J$27,'2024-25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11" localSheetId="0" hidden="1">'2024-25 Proposed Budget'!$H$25,'2024-25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12"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12"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13"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13"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14"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Sheet'!$I$34,'2024-25 Budget Detail Sheet'!$J$34,'2024-25 Budget Detail Sheet'!#REF!</definedName>
    <definedName name="QB_FORMULA_14"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Budget'!$H$32,'2024-25 Proposed Budget'!#REF!,'2024-25 Proposed Budget'!#REF!</definedName>
    <definedName name="QB_FORMULA_15"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Sheet'!$I$39,'2024-25 Budget Detail Sheet'!$J$39</definedName>
    <definedName name="QB_FORMULA_15"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Budget'!$H$37,'2024-25 Proposed Budget'!#REF!</definedName>
    <definedName name="QB_FORMULA_16"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16"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17"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Sheet'!$I$43,'2024-25 Budget Detail Sheet'!$J$43,'2024-25 Budget Detail Sheet'!#REF!,'2024-25 Budget Detail Sheet'!#REF!</definedName>
    <definedName name="QB_FORMULA_17"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Budget'!$H$41,'2024-25 Proposed Budget'!#REF!,'2024-25 Proposed Budget'!#REF!,'2024-25 Proposed Budget'!#REF!</definedName>
    <definedName name="QB_FORMULA_18"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18"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19" localSheetId="1" hidden="1">'2024-25 Budget Detail Sheet'!#REF!,'2024-25 Budget Detail Sheet'!$I$47,'2024-25 Budget Detail Sheet'!$J$47,'2024-25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Sheet'!$I$49,'2024-25 Budget Detail Sheet'!$J$49</definedName>
    <definedName name="QB_FORMULA_19" localSheetId="0" hidden="1">'2024-25 Proposed Budget'!#REF!,'2024-25 Proposed Budget'!$H$45,'2024-25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Budget'!$H$47,'2024-25 Proposed Budget'!#REF!</definedName>
    <definedName name="QB_FORMULA_2"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2"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20"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20"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21" localSheetId="1" hidden="1">'2024-25 Budget Detail Sheet'!#REF!,'2024-25 Budget Detail Sheet'!#REF!,'2024-25 Budget Detail Sheet'!#REF!,'2024-25 Budget Detail Sheet'!#REF!,'2024-25 Budget Detail Sheet'!$I$54,'2024-25 Budget Detail Sheet'!$J$54,'2024-25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21" localSheetId="0" hidden="1">'2024-25 Proposed Budget'!#REF!,'2024-25 Proposed Budget'!#REF!,'2024-25 Proposed Budget'!#REF!,'2024-25 Proposed Budget'!#REF!,'2024-25 Proposed Budget'!$H$52,'2024-25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22"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Sheet'!$I$58,'2024-25 Budget Detail Sheet'!$J$58,'2024-25 Budget Detail Sheet'!#REF!,'2024-25 Budget Detail Sheet'!#REF!,'2024-25 Budget Detail Sheet'!#REF!,'2024-25 Budget Detail Sheet'!#REF!,'2024-25 Budget Detail Sheet'!#REF!</definedName>
    <definedName name="QB_FORMULA_22" localSheetId="0" hidden="1">'2024-25 Proposed Budget'!#REF!,'2024-25 Proposed Budget'!#REF!,'2024-25 Proposed Budget'!#REF!,'2024-25 Proposed Budget'!#REF!,'2024-25 Proposed Budget'!#REF!,'2024-25 Proposed Budget'!#REF!,'2024-25 Proposed Budget'!#REF!,'2024-25 Proposed Budget'!#REF!,'2024-25 Proposed Budget'!#REF!,'2024-25 Proposed Budget'!$H$56,'2024-25 Proposed Budget'!#REF!,'2024-25 Proposed Budget'!#REF!,'2024-25 Proposed Budget'!#REF!,'2024-25 Proposed Budget'!#REF!,'2024-25 Proposed Budget'!#REF!,'2024-25 Proposed Budget'!#REF!</definedName>
    <definedName name="QB_FORMULA_23"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Sheet'!$I$62,'2024-25 Budget Detail Sheet'!$J$62</definedName>
    <definedName name="QB_FORMULA_23"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Budget'!$H$60,'2024-25 Proposed Budget'!#REF!</definedName>
    <definedName name="QB_FORMULA_24"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24"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25" localSheetId="1" hidden="1">'2024-25 Budget Detail Sheet'!#REF!,'2024-25 Budget Detail Sheet'!#REF!,'2024-25 Budget Detail Sheet'!#REF!,'2024-25 Budget Detail Sheet'!#REF!,'2024-25 Budget Detail Sheet'!#REF!,'2024-25 Budget Detail Sheet'!#REF!,'2024-25 Budget Detail Sheet'!#REF!,'2024-25 Budget Detail Sheet'!$I$66,'2024-25 Budget Detail Sheet'!$J$66,'2024-25 Budget Detail Sheet'!#REF!,'2024-25 Budget Detail Sheet'!#REF!,'2024-25 Budget Detail Sheet'!#REF!,'2024-25 Budget Detail Sheet'!#REF!,'2024-25 Budget Detail Sheet'!#REF!,'2024-25 Budget Detail Sheet'!#REF!,'2024-25 Budget Detail Sheet'!#REF!</definedName>
    <definedName name="QB_FORMULA_25" localSheetId="0" hidden="1">'2024-25 Proposed Budget'!#REF!,'2024-25 Proposed Budget'!#REF!,'2024-25 Proposed Budget'!#REF!,'2024-25 Proposed Budget'!#REF!,'2024-25 Proposed Budget'!#REF!,'2024-25 Proposed Budget'!#REF!,'2024-25 Proposed Budget'!#REF!,'2024-25 Proposed Budget'!$H$64,'2024-25 Proposed Budget'!#REF!,'2024-25 Proposed Budget'!#REF!,'2024-25 Proposed Budget'!#REF!,'2024-25 Proposed Budget'!#REF!,'2024-25 Proposed Budget'!#REF!,'2024-25 Proposed Budget'!#REF!,'2024-25 Proposed Budget'!#REF!,'2024-25 Proposed Budget'!#REF!</definedName>
    <definedName name="QB_FORMULA_26" localSheetId="1" hidden="1">'2024-25 Budget Detail Sheet'!$I$67,'2024-25 Budget Detail Sheet'!$J$67,'2024-25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26" localSheetId="0" hidden="1">'2024-25 Proposed Budget'!$H$65,'2024-25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27"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Sheet'!$I$72,'2024-25 Budget Detail Sheet'!$J$72,'2024-25 Budget Detail Sheet'!#REF!,'2024-25 Budget Detail Sheet'!#REF!,'2024-25 Budget Detail Sheet'!#REF!</definedName>
    <definedName name="QB_FORMULA_27"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Budget'!$H$70,'2024-25 Proposed Budget'!#REF!,'2024-25 Proposed Budget'!#REF!,'2024-25 Proposed Budget'!#REF!,'2024-25 Proposed Budget'!#REF!</definedName>
    <definedName name="QB_FORMULA_28"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28"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29"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29"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3"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3"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30"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30"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31"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31"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32"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32"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33"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33"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34"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34"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35"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Sheet'!$I$73,'2024-25 Budget Detail Sheet'!$J$73,'2024-25 Budget Detail Sheet'!#REF!</definedName>
    <definedName name="QB_FORMULA_35"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Budget'!$H$71,'2024-25 Proposed Budget'!#REF!,'2024-25 Proposed Budget'!#REF!</definedName>
    <definedName name="QB_FORMULA_36"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Sheet'!$I$74,'2024-25 Budget Detail Sheet'!$J$74,'2024-25 Budget Detail Sheet'!#REF!,'2024-25 Budget Detail Sheet'!#REF!</definedName>
    <definedName name="QB_FORMULA_36"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37"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Sheet'!$I$75,'2024-25 Budget Detail Sheet'!$J$75,'2024-25 Budget Detail Sheet'!#REF!,'2024-25 Budget Detail Sheet'!#REF!,'2024-25 Budget Detail Sheet'!#REF!</definedName>
    <definedName name="QB_FORMULA_37"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Budget'!$H$72,'2024-25 Proposed Budget'!#REF!,'2024-25 Proposed Budget'!#REF!,'2024-25 Proposed Budget'!#REF!,'2024-25 Proposed Budget'!#REF!</definedName>
    <definedName name="QB_FORMULA_38"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38"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39" localSheetId="1" hidden="1">'2024-25 Budget Detail Sheet'!#REF!,'2024-25 Budget Detail Sheet'!#REF!,'2024-25 Budget Detail Sheet'!#REF!,'2024-25 Budget Detail Sheet'!#REF!,'2024-25 Budget Detail Sheet'!$I$76,'2024-25 Budget Detail Sheet'!#REF!,'2024-25 Budget Detail Sheet'!#REF!,'2024-25 Budget Detail Sheet'!#REF!,'2024-25 Budget Detail Sheet'!#REF!,'2024-25 Budget Detail Sheet'!#REF!,'2024-25 Budget Detail Sheet'!#REF!,'2024-25 Budget Detail Sheet'!$I$77,'2024-25 Budget Detail Sheet'!$J$77,'2024-25 Budget Detail Sheet'!#REF!,'2024-25 Budget Detail Sheet'!#REF!,'2024-25 Budget Detail Sheet'!#REF!</definedName>
    <definedName name="QB_FORMULA_39" localSheetId="0" hidden="1">'2024-25 Proposed Budget'!#REF!,'2024-25 Proposed Budget'!#REF!,'2024-25 Proposed Budget'!#REF!,'2024-25 Proposed Budget'!#REF!,'2024-25 Proposed Budget'!$H$73,'2024-25 Proposed Budget'!#REF!,'2024-25 Proposed Budget'!#REF!,'2024-25 Proposed Budget'!#REF!,'2024-25 Proposed Budget'!#REF!,'2024-25 Proposed Budget'!#REF!,'2024-25 Proposed Budget'!#REF!,'2024-25 Proposed Budget'!$H$74,'2024-25 Proposed Budget'!#REF!,'2024-25 Proposed Budget'!#REF!,'2024-25 Proposed Budget'!#REF!,'2024-25 Proposed Budget'!#REF!</definedName>
    <definedName name="QB_FORMULA_4" localSheetId="1" hidden="1">'2024-25 Budget Detail Sheet'!#REF!,'2024-25 Budget Detail Sheet'!#REF!,'2024-25 Budget Detail Sheet'!#REF!,'2024-25 Budget Detail Sheet'!#REF!,'2024-25 Budget Detail Sheet'!#REF!,'2024-25 Budget Detail Sheet'!#REF!,'2024-25 Budget Detail Sheet'!$I$17,'2024-25 Budget Detail Sheet'!$J$17,'2024-25 Budget Detail Sheet'!#REF!,'2024-25 Budget Detail Sheet'!#REF!,'2024-25 Budget Detail Sheet'!#REF!,'2024-25 Budget Detail Sheet'!#REF!,'2024-25 Budget Detail Sheet'!#REF!,'2024-25 Budget Detail Sheet'!#REF!,'2024-25 Budget Detail Sheet'!#REF!,'2024-25 Budget Detail Sheet'!#REF!</definedName>
    <definedName name="QB_FORMULA_4" localSheetId="0" hidden="1">'2024-25 Proposed Budget'!#REF!,'2024-25 Proposed Budget'!#REF!,'2024-25 Proposed Budget'!#REF!,'2024-25 Proposed Budget'!#REF!,'2024-25 Proposed Budget'!#REF!,'2024-25 Proposed Budget'!#REF!,'2024-25 Proposed Budget'!$H$16,'2024-25 Proposed Budget'!#REF!,'2024-25 Proposed Budget'!#REF!,'2024-25 Proposed Budget'!#REF!,'2024-25 Proposed Budget'!#REF!,'2024-25 Proposed Budget'!#REF!,'2024-25 Proposed Budget'!#REF!,'2024-25 Proposed Budget'!#REF!,'2024-25 Proposed Budget'!#REF!,'2024-25 Proposed Budget'!#REF!</definedName>
    <definedName name="QB_FORMULA_40"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40" localSheetId="0" hidden="1">'2024-25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5" localSheetId="1" hidden="1">'2024-25 Budget Detail Sheet'!#REF!,'2024-25 Budget Detail Sheet'!#REF!,'2024-25 Budget Detail Sheet'!#REF!,'2024-25 Budget Detail Sheet'!#REF!,'2024-25 Budget Detail Sheet'!#REF!,'2024-25 Budget Detail Sheet'!$I$19,'2024-25 Budget Detail Sheet'!$J$19,'2024-25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5" localSheetId="0" hidden="1">'2024-25 Proposed Budget'!#REF!,'2024-25 Proposed Budget'!#REF!,'2024-25 Proposed Budget'!#REF!,'2024-25 Proposed Budget'!#REF!,'2024-25 Proposed Budget'!#REF!,'2024-25 Proposed Budget'!$H$18,'2024-25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6"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6"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FORMULA_7"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Sheet'!$I$22,'2024-25 Budget Detail Sheet'!$J$22,'2024-25 Budget Detail Sheet'!#REF!</definedName>
    <definedName name="QB_FORMULA_7"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Budget'!$H$21,'2024-25 Proposed Budget'!#REF!,'2024-25 Proposed Budget'!#REF!</definedName>
    <definedName name="QB_FORMULA_8" localSheetId="1" hidden="1">'2024-25 Budget Detail Sheet'!#REF!,'2024-25 Budget Detail Sheet'!#REF!,'2024-25 Budget Detail Sheet'!#REF!,'2024-25 Budget Detail Sheet'!#REF!,'2024-25 Budget Detail Sheet'!#REF!,'2024-25 Budget Detail Sheet'!#REF!,'2024-25 Budget Detail Sheet'!$I$23,'2024-25 Budget Detail Sheet'!$J$23,'2024-25 Budget Detail Sheet'!#REF!,'2024-25 Budget Detail Sheet'!#REF!,'2024-25 Budget Detail Sheet'!#REF!,'2024-25 Budget Detail Sheet'!#REF!,'2024-25 Budget Detail Sheet'!#REF!,'2024-25 Budget Detail Sheet'!#REF!,'2024-25 Budget Detail Sheet'!#REF!,'2024-25 Budget Detail Sheet'!#REF!</definedName>
    <definedName name="QB_FORMULA_8" localSheetId="0" hidden="1">'2024-25 Proposed Budget'!#REF!,'2024-25 Proposed Budget'!#REF!,'2024-25 Proposed Budget'!#REF!,'2024-25 Proposed Budget'!#REF!,'2024-25 Proposed Budget'!#REF!,'2024-25 Proposed Budget'!#REF!,'2024-25 Proposed Budget'!$H$22,'2024-25 Proposed Budget'!#REF!,'2024-25 Proposed Budget'!#REF!,'2024-25 Proposed Budget'!#REF!,'2024-25 Proposed Budget'!#REF!,'2024-25 Proposed Budget'!#REF!,'2024-25 Proposed Budget'!#REF!,'2024-25 Proposed Budget'!#REF!,'2024-25 Proposed Budget'!#REF!,'2024-25 Proposed Budget'!#REF!</definedName>
    <definedName name="QB_FORMULA_9" localSheetId="1" hidden="1">'2024-25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Sheet'!#REF!,'2024-25 Budget Detail Sheet'!#REF!</definedName>
    <definedName name="QB_FORMULA_9" localSheetId="0" hidden="1">'2024-25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Budget'!#REF!,'2024-25 Proposed Budget'!#REF!</definedName>
    <definedName name="QB_ROW_100270" localSheetId="1" hidden="1">'2024-25 Budget Detail Sheet'!$E$9</definedName>
    <definedName name="QB_ROW_100270" localSheetId="0" hidden="1">'2024-25 Proposed Budget'!$D$8</definedName>
    <definedName name="QB_ROW_102270" localSheetId="1" hidden="1">'2024-25 Budget Detail Sheet'!#REF!</definedName>
    <definedName name="QB_ROW_102270" localSheetId="0" hidden="1">'2024-25 Proposed Budget'!#REF!</definedName>
    <definedName name="QB_ROW_106060" localSheetId="1" hidden="1">'2024-25 Budget Detail Sheet'!#REF!</definedName>
    <definedName name="QB_ROW_106060" localSheetId="0" hidden="1">'2024-25 Proposed Budget'!#REF!</definedName>
    <definedName name="QB_ROW_106270" localSheetId="1" hidden="1">'2024-25 Budget Detail Sheet'!#REF!</definedName>
    <definedName name="QB_ROW_106270" localSheetId="0" hidden="1">'2024-25 Proposed Budget'!#REF!</definedName>
    <definedName name="QB_ROW_106360" localSheetId="1" hidden="1">'2024-25 Budget Detail Sheet'!#REF!</definedName>
    <definedName name="QB_ROW_106360" localSheetId="0" hidden="1">'2024-25 Proposed Budget'!#REF!</definedName>
    <definedName name="QB_ROW_109070" localSheetId="1" hidden="1">'2024-25 Budget Detail Sheet'!#REF!</definedName>
    <definedName name="QB_ROW_109070" localSheetId="0" hidden="1">'2024-25 Proposed Budget'!#REF!</definedName>
    <definedName name="QB_ROW_109370" localSheetId="1" hidden="1">'2024-25 Budget Detail Sheet'!#REF!</definedName>
    <definedName name="QB_ROW_109370" localSheetId="0" hidden="1">'2024-25 Proposed Budget'!#REF!</definedName>
    <definedName name="QB_ROW_110270" localSheetId="1" hidden="1">'2024-25 Budget Detail Sheet'!#REF!</definedName>
    <definedName name="QB_ROW_110270" localSheetId="0" hidden="1">'2024-25 Proposed Budget'!#REF!</definedName>
    <definedName name="QB_ROW_115270" localSheetId="1" hidden="1">'2024-25 Budget Detail Sheet'!$E$40</definedName>
    <definedName name="QB_ROW_115270" localSheetId="0" hidden="1">'2024-25 Proposed Budget'!$E$38</definedName>
    <definedName name="QB_ROW_116270" localSheetId="1" hidden="1">'2024-25 Budget Detail Sheet'!$E$41</definedName>
    <definedName name="QB_ROW_116270" localSheetId="0" hidden="1">'2024-25 Proposed Budget'!$E$39</definedName>
    <definedName name="QB_ROW_121280" localSheetId="1" hidden="1">'2024-25 Budget Detail Sheet'!$F$37</definedName>
    <definedName name="QB_ROW_121280" localSheetId="0" hidden="1">'2024-25 Proposed Budget'!$F$35</definedName>
    <definedName name="QB_ROW_122260" localSheetId="1" hidden="1">'2024-25 Budget Detail Sheet'!#REF!</definedName>
    <definedName name="QB_ROW_122260" localSheetId="0" hidden="1">'2024-25 Proposed Budget'!#REF!</definedName>
    <definedName name="QB_ROW_123260" localSheetId="1" hidden="1">'2024-25 Budget Detail Sheet'!#REF!</definedName>
    <definedName name="QB_ROW_123260" localSheetId="0" hidden="1">'2024-25 Proposed Budget'!#REF!</definedName>
    <definedName name="QB_ROW_125270" localSheetId="1" hidden="1">'2024-25 Budget Detail Sheet'!$E$46</definedName>
    <definedName name="QB_ROW_125270" localSheetId="0" hidden="1">'2024-25 Proposed Budget'!$E$44</definedName>
    <definedName name="QB_ROW_142280" localSheetId="1" hidden="1">'2024-25 Budget Detail Sheet'!$F$6</definedName>
    <definedName name="QB_ROW_142280" localSheetId="0" hidden="1">'2024-25 Proposed Budget'!$F$5</definedName>
    <definedName name="QB_ROW_143280" localSheetId="1" hidden="1">'2024-25 Budget Detail Sheet'!$F$7</definedName>
    <definedName name="QB_ROW_143280" localSheetId="0" hidden="1">'2024-25 Proposed Budget'!$F$6</definedName>
    <definedName name="QB_ROW_144280" localSheetId="1" hidden="1">'2024-25 Budget Detail Sheet'!#REF!</definedName>
    <definedName name="QB_ROW_144280" localSheetId="0" hidden="1">'2024-25 Proposed Budget'!#REF!</definedName>
    <definedName name="QB_ROW_145280" localSheetId="1" hidden="1">'2024-25 Budget Detail Sheet'!#REF!</definedName>
    <definedName name="QB_ROW_145280" localSheetId="0" hidden="1">'2024-25 Proposed Budget'!#REF!</definedName>
    <definedName name="QB_ROW_148280" localSheetId="1" hidden="1">'2024-25 Budget Detail Sheet'!$F$16</definedName>
    <definedName name="QB_ROW_148280" localSheetId="0" hidden="1">'2024-25 Proposed Budget'!$F$15</definedName>
    <definedName name="QB_ROW_149280" localSheetId="1" hidden="1">'2024-25 Budget Detail Sheet'!$F$15</definedName>
    <definedName name="QB_ROW_149280" localSheetId="0" hidden="1">'2024-25 Proposed Budget'!$F$14</definedName>
    <definedName name="QB_ROW_174270" localSheetId="1" hidden="1">'2024-25 Budget Detail Sheet'!$E$18</definedName>
    <definedName name="QB_ROW_174270" localSheetId="0" hidden="1">'2024-25 Proposed Budget'!$D$17</definedName>
    <definedName name="QB_ROW_181280" localSheetId="1" hidden="1">'2024-25 Budget Detail Sheet'!$E$42</definedName>
    <definedName name="QB_ROW_181280" localSheetId="0" hidden="1">'2024-25 Proposed Budget'!$E$40</definedName>
    <definedName name="QB_ROW_182270" localSheetId="1" hidden="1">'2024-25 Budget Detail Sheet'!$E$21</definedName>
    <definedName name="QB_ROW_182270" localSheetId="0" hidden="1">'2024-25 Proposed Budget'!$E$20</definedName>
    <definedName name="QB_ROW_18301" localSheetId="1" hidden="1">'2024-25 Budget Detail Sheet'!#REF!</definedName>
    <definedName name="QB_ROW_18301" localSheetId="0" hidden="1">'2024-25 Proposed Budget'!#REF!</definedName>
    <definedName name="QB_ROW_183060" localSheetId="1" hidden="1">'2024-25 Budget Detail Sheet'!#REF!</definedName>
    <definedName name="QB_ROW_183060" localSheetId="0" hidden="1">'2024-25 Proposed Budget'!#REF!</definedName>
    <definedName name="QB_ROW_183360" localSheetId="1" hidden="1">'2024-25 Budget Detail Sheet'!$D$22</definedName>
    <definedName name="QB_ROW_183360" localSheetId="0" hidden="1">'2024-25 Proposed Budget'!$D$21</definedName>
    <definedName name="QB_ROW_185260" localSheetId="1" hidden="1">'2024-25 Budget Detail Sheet'!$D$32</definedName>
    <definedName name="QB_ROW_185260" localSheetId="0" hidden="1">'2024-25 Proposed Budget'!$D$30</definedName>
    <definedName name="QB_ROW_186050" localSheetId="1" hidden="1">'2024-25 Budget Detail Sheet'!$C$29</definedName>
    <definedName name="QB_ROW_186050" localSheetId="0" hidden="1">'2024-25 Proposed Budget'!$C$27</definedName>
    <definedName name="QB_ROW_186350" localSheetId="1" hidden="1">'2024-25 Budget Detail Sheet'!$C$34</definedName>
    <definedName name="QB_ROW_186350" localSheetId="0" hidden="1">'2024-25 Proposed Budget'!$D$32</definedName>
    <definedName name="QB_ROW_189070" localSheetId="1" hidden="1">'2024-25 Budget Detail Sheet'!#REF!</definedName>
    <definedName name="QB_ROW_189070" localSheetId="0" hidden="1">'2024-25 Proposed Budget'!#REF!</definedName>
    <definedName name="QB_ROW_189370" localSheetId="1" hidden="1">'2024-25 Budget Detail Sheet'!$E$39</definedName>
    <definedName name="QB_ROW_189370" localSheetId="0" hidden="1">'2024-25 Proposed Budget'!$E$37</definedName>
    <definedName name="QB_ROW_19011" localSheetId="1" hidden="1">'2024-25 Budget Detail Sheet'!#REF!</definedName>
    <definedName name="QB_ROW_19011" localSheetId="0" hidden="1">'2024-25 Proposed Budget'!#REF!</definedName>
    <definedName name="QB_ROW_191260" localSheetId="1" hidden="1">'2024-25 Budget Detail Sheet'!$D$24</definedName>
    <definedName name="QB_ROW_191260" localSheetId="0" hidden="1">'2024-25 Proposed Budget'!$D$23</definedName>
    <definedName name="QB_ROW_192070" localSheetId="1" hidden="1">'2024-25 Budget Detail Sheet'!#REF!</definedName>
    <definedName name="QB_ROW_192070" localSheetId="0" hidden="1">'2024-25 Proposed Budget'!#REF!</definedName>
    <definedName name="QB_ROW_192370" localSheetId="1" hidden="1">'2024-25 Budget Detail Sheet'!#REF!</definedName>
    <definedName name="QB_ROW_192370" localSheetId="0" hidden="1">'2024-25 Proposed Budget'!#REF!</definedName>
    <definedName name="QB_ROW_19311" localSheetId="1" hidden="1">'2024-25 Budget Detail Sheet'!#REF!</definedName>
    <definedName name="QB_ROW_19311" localSheetId="0" hidden="1">'2024-25 Proposed Budget'!#REF!</definedName>
    <definedName name="QB_ROW_193260" localSheetId="1" hidden="1">'2024-25 Budget Detail Sheet'!$D$70</definedName>
    <definedName name="QB_ROW_193260" localSheetId="0" hidden="1">'2024-25 Proposed Budget'!$D$68</definedName>
    <definedName name="QB_ROW_196050" localSheetId="1" hidden="1">'2024-25 Budget Detail Sheet'!#REF!</definedName>
    <definedName name="QB_ROW_196050" localSheetId="0" hidden="1">'2024-25 Proposed Budget'!#REF!</definedName>
    <definedName name="QB_ROW_196350" localSheetId="1" hidden="1">'2024-25 Budget Detail Sheet'!#REF!</definedName>
    <definedName name="QB_ROW_196350" localSheetId="0" hidden="1">'2024-25 Proposed Budget'!#REF!</definedName>
    <definedName name="QB_ROW_197060" localSheetId="1" hidden="1">'2024-25 Budget Detail Sheet'!#REF!</definedName>
    <definedName name="QB_ROW_197060" localSheetId="0" hidden="1">'2024-25 Proposed Budget'!#REF!</definedName>
    <definedName name="QB_ROW_197270" localSheetId="1" hidden="1">'2024-25 Budget Detail Sheet'!#REF!</definedName>
    <definedName name="QB_ROW_197270" localSheetId="0" hidden="1">'2024-25 Proposed Budget'!#REF!</definedName>
    <definedName name="QB_ROW_197360" localSheetId="1" hidden="1">'2024-25 Budget Detail Sheet'!#REF!</definedName>
    <definedName name="QB_ROW_197360" localSheetId="0" hidden="1">'2024-25 Proposed Budget'!#REF!</definedName>
    <definedName name="QB_ROW_198270" localSheetId="1" hidden="1">'2024-25 Budget Detail Sheet'!#REF!</definedName>
    <definedName name="QB_ROW_198270" localSheetId="0" hidden="1">'2024-25 Proposed Budget'!#REF!</definedName>
    <definedName name="QB_ROW_20031" localSheetId="1" hidden="1">'2024-25 Budget Detail Sheet'!#REF!</definedName>
    <definedName name="QB_ROW_20031" localSheetId="0" hidden="1">'2024-25 Proposed Budget'!#REF!</definedName>
    <definedName name="QB_ROW_20331" localSheetId="1" hidden="1">'2024-25 Budget Detail Sheet'!#REF!</definedName>
    <definedName name="QB_ROW_20331" localSheetId="0" hidden="1">'2024-25 Proposed Budget'!#REF!</definedName>
    <definedName name="QB_ROW_210060" localSheetId="1" hidden="1">'2024-25 Budget Detail Sheet'!#REF!</definedName>
    <definedName name="QB_ROW_210060" localSheetId="0" hidden="1">'2024-25 Proposed Budget'!#REF!</definedName>
    <definedName name="QB_ROW_210270" localSheetId="1" hidden="1">'2024-25 Budget Detail Sheet'!#REF!</definedName>
    <definedName name="QB_ROW_210270" localSheetId="0" hidden="1">'2024-25 Proposed Budget'!#REF!</definedName>
    <definedName name="QB_ROW_21031" localSheetId="1" hidden="1">'2024-25 Budget Detail Sheet'!#REF!</definedName>
    <definedName name="QB_ROW_21031" localSheetId="0" hidden="1">'2024-25 Proposed Budget'!#REF!</definedName>
    <definedName name="QB_ROW_210360" localSheetId="1" hidden="1">'2024-25 Budget Detail Sheet'!#REF!</definedName>
    <definedName name="QB_ROW_210360" localSheetId="0" hidden="1">'2024-25 Proposed Budget'!#REF!</definedName>
    <definedName name="QB_ROW_21331" localSheetId="1" hidden="1">'2024-25 Budget Detail Sheet'!#REF!</definedName>
    <definedName name="QB_ROW_21331" localSheetId="0" hidden="1">'2024-25 Proposed Budget'!#REF!</definedName>
    <definedName name="QB_ROW_214270" localSheetId="1" hidden="1">'2024-25 Budget Detail Sheet'!#REF!</definedName>
    <definedName name="QB_ROW_214270" localSheetId="0" hidden="1">'2024-25 Proposed Budget'!#REF!</definedName>
    <definedName name="QB_ROW_215060" localSheetId="1" hidden="1">'2024-25 Budget Detail Sheet'!#REF!</definedName>
    <definedName name="QB_ROW_215060" localSheetId="0" hidden="1">'2024-25 Proposed Budget'!#REF!</definedName>
    <definedName name="QB_ROW_215270" localSheetId="1" hidden="1">'2024-25 Budget Detail Sheet'!#REF!</definedName>
    <definedName name="QB_ROW_215270" localSheetId="0" hidden="1">'2024-25 Proposed Budget'!#REF!</definedName>
    <definedName name="QB_ROW_215360" localSheetId="1" hidden="1">'2024-25 Budget Detail Sheet'!#REF!</definedName>
    <definedName name="QB_ROW_215360" localSheetId="0" hidden="1">'2024-25 Proposed Budget'!#REF!</definedName>
    <definedName name="QB_ROW_22011" localSheetId="1" hidden="1">'2024-25 Budget Detail Sheet'!#REF!</definedName>
    <definedName name="QB_ROW_22011" localSheetId="0" hidden="1">'2024-25 Proposed Budget'!#REF!</definedName>
    <definedName name="QB_ROW_220260" localSheetId="1" hidden="1">'2024-25 Budget Detail Sheet'!#REF!</definedName>
    <definedName name="QB_ROW_220260" localSheetId="0" hidden="1">'2024-25 Proposed Budget'!#REF!</definedName>
    <definedName name="QB_ROW_22311" localSheetId="1" hidden="1">'2024-25 Budget Detail Sheet'!#REF!</definedName>
    <definedName name="QB_ROW_22311" localSheetId="0" hidden="1">'2024-25 Proposed Budget'!#REF!</definedName>
    <definedName name="QB_ROW_239230" localSheetId="1" hidden="1">'2024-25 Budget Detail Sheet'!#REF!</definedName>
    <definedName name="QB_ROW_239230" localSheetId="0" hidden="1">'2024-25 Proposed Budget'!#REF!</definedName>
    <definedName name="QB_ROW_24021" localSheetId="1" hidden="1">'2024-25 Budget Detail Sheet'!#REF!</definedName>
    <definedName name="QB_ROW_24021" localSheetId="0" hidden="1">'2024-25 Proposed Budget'!#REF!</definedName>
    <definedName name="QB_ROW_24321" localSheetId="1" hidden="1">'2024-25 Budget Detail Sheet'!#REF!</definedName>
    <definedName name="QB_ROW_24321" localSheetId="0" hidden="1">'2024-25 Proposed Budget'!#REF!</definedName>
    <definedName name="QB_ROW_253250" localSheetId="1" hidden="1">'2024-25 Budget Detail Sheet'!$B$4</definedName>
    <definedName name="QB_ROW_253250" localSheetId="0" hidden="1">'2024-25 Proposed Budget'!$B$3</definedName>
    <definedName name="QB_ROW_254050" localSheetId="1" hidden="1">'2024-25 Budget Detail Sheet'!#REF!</definedName>
    <definedName name="QB_ROW_254050" localSheetId="0" hidden="1">'2024-25 Proposed Budget'!#REF!</definedName>
    <definedName name="QB_ROW_254350" localSheetId="1" hidden="1">'2024-25 Budget Detail Sheet'!$C$23</definedName>
    <definedName name="QB_ROW_254350" localSheetId="0" hidden="1">'2024-25 Proposed Budget'!$C$22</definedName>
    <definedName name="QB_ROW_255270" localSheetId="1" hidden="1">'2024-25 Budget Detail Sheet'!$E$20</definedName>
    <definedName name="QB_ROW_255270" localSheetId="0" hidden="1">'2024-25 Proposed Budget'!$E$19</definedName>
    <definedName name="QB_ROW_261050" localSheetId="1" hidden="1">'2024-25 Budget Detail Sheet'!#REF!</definedName>
    <definedName name="QB_ROW_261050" localSheetId="0" hidden="1">'2024-25 Proposed Budget'!#REF!</definedName>
    <definedName name="QB_ROW_261350" localSheetId="1" hidden="1">'2024-25 Budget Detail Sheet'!$C$26</definedName>
    <definedName name="QB_ROW_261350" localSheetId="0" hidden="1">'2024-25 Proposed Budget'!$C$24</definedName>
    <definedName name="QB_ROW_264260" localSheetId="1" hidden="1">'2024-25 Budget Detail Sheet'!$D$30</definedName>
    <definedName name="QB_ROW_264260" localSheetId="0" hidden="1">'2024-25 Proposed Budget'!$D$28</definedName>
    <definedName name="QB_ROW_267060" localSheetId="1" hidden="1">'2024-25 Budget Detail Sheet'!#REF!</definedName>
    <definedName name="QB_ROW_267060" localSheetId="0" hidden="1">'2024-25 Proposed Budget'!#REF!</definedName>
    <definedName name="QB_ROW_267270" localSheetId="1" hidden="1">'2024-25 Budget Detail Sheet'!#REF!</definedName>
    <definedName name="QB_ROW_267270" localSheetId="0" hidden="1">'2024-25 Proposed Budget'!#REF!</definedName>
    <definedName name="QB_ROW_267360" localSheetId="1" hidden="1">'2024-25 Budget Detail Sheet'!#REF!</definedName>
    <definedName name="QB_ROW_267360" localSheetId="0" hidden="1">'2024-25 Proposed Budget'!#REF!</definedName>
    <definedName name="QB_ROW_271270" localSheetId="1" hidden="1">'2024-25 Budget Detail Sheet'!#REF!</definedName>
    <definedName name="QB_ROW_271270" localSheetId="0" hidden="1">'2024-25 Proposed Budget'!#REF!</definedName>
    <definedName name="QB_ROW_282270" localSheetId="1" hidden="1">'2024-25 Budget Detail Sheet'!$E$59</definedName>
    <definedName name="QB_ROW_282270" localSheetId="0" hidden="1">'2024-25 Proposed Budget'!$E$57</definedName>
    <definedName name="QB_ROW_283060" localSheetId="1" hidden="1">'2024-25 Budget Detail Sheet'!#REF!</definedName>
    <definedName name="QB_ROW_283060" localSheetId="0" hidden="1">'2024-25 Proposed Budget'!#REF!</definedName>
    <definedName name="QB_ROW_283360" localSheetId="1" hidden="1">'2024-25 Budget Detail Sheet'!$D$19</definedName>
    <definedName name="QB_ROW_283360" localSheetId="0" hidden="1">'2024-25 Proposed Budget'!$D$18</definedName>
    <definedName name="QB_ROW_284060" localSheetId="1" hidden="1">'2024-25 Budget Detail Sheet'!$D$36</definedName>
    <definedName name="QB_ROW_284060" localSheetId="0" hidden="1">'2024-25 Proposed Budget'!$D$34</definedName>
    <definedName name="QB_ROW_284360" localSheetId="1" hidden="1">'2024-25 Budget Detail Sheet'!$D$43</definedName>
    <definedName name="QB_ROW_284360" localSheetId="0" hidden="1">'2024-25 Proposed Budget'!$D$41</definedName>
    <definedName name="QB_ROW_285060" localSheetId="1" hidden="1">'2024-25 Budget Detail Sheet'!#REF!</definedName>
    <definedName name="QB_ROW_285060" localSheetId="0" hidden="1">'2024-25 Proposed Budget'!#REF!</definedName>
    <definedName name="QB_ROW_285360" localSheetId="1" hidden="1">'2024-25 Budget Detail Sheet'!$D$54</definedName>
    <definedName name="QB_ROW_285360" localSheetId="0" hidden="1">'2024-25 Proposed Budget'!$D$52</definedName>
    <definedName name="QB_ROW_286060" localSheetId="1" hidden="1">'2024-25 Budget Detail Sheet'!#REF!</definedName>
    <definedName name="QB_ROW_286060" localSheetId="0" hidden="1">'2024-25 Proposed Budget'!#REF!</definedName>
    <definedName name="QB_ROW_286360" localSheetId="1" hidden="1">'2024-25 Budget Detail Sheet'!$D$62</definedName>
    <definedName name="QB_ROW_286360" localSheetId="0" hidden="1">'2024-25 Proposed Budget'!$D$60</definedName>
    <definedName name="QB_ROW_287270" localSheetId="1" hidden="1">'2024-25 Budget Detail Sheet'!$E$64</definedName>
    <definedName name="QB_ROW_287270" localSheetId="0" hidden="1">'2024-25 Proposed Budget'!$E$62</definedName>
    <definedName name="QB_ROW_288270" localSheetId="1" hidden="1">'2024-25 Budget Detail Sheet'!$E$65</definedName>
    <definedName name="QB_ROW_288270" localSheetId="0" hidden="1">'2024-25 Proposed Budget'!$E$63</definedName>
    <definedName name="QB_ROW_293260" localSheetId="1" hidden="1">'2024-25 Budget Detail Sheet'!$D$25</definedName>
    <definedName name="QB_ROW_293260" localSheetId="0" hidden="1">'2024-25 Proposed Budget'!#REF!</definedName>
    <definedName name="QB_ROW_294260" localSheetId="1" hidden="1">'2024-25 Budget Detail Sheet'!#REF!</definedName>
    <definedName name="QB_ROW_294260" localSheetId="0" hidden="1">'2024-25 Proposed Budget'!#REF!</definedName>
    <definedName name="QB_ROW_295040" localSheetId="1" hidden="1">'2024-25 Budget Detail Sheet'!#REF!</definedName>
    <definedName name="QB_ROW_295040" localSheetId="0" hidden="1">'2024-25 Proposed Budget'!#REF!</definedName>
    <definedName name="QB_ROW_295340" localSheetId="1" hidden="1">'2024-25 Budget Detail Sheet'!$B$27</definedName>
    <definedName name="QB_ROW_295340" localSheetId="0" hidden="1">'2024-25 Proposed Budget'!$C$25</definedName>
    <definedName name="QB_ROW_296040" localSheetId="1" hidden="1">'2024-25 Budget Detail Sheet'!$B$28</definedName>
    <definedName name="QB_ROW_296040" localSheetId="0" hidden="1">'2024-25 Proposed Budget'!$C$26</definedName>
    <definedName name="QB_ROW_296340" localSheetId="1" hidden="1">'2024-25 Budget Detail Sheet'!$B$73</definedName>
    <definedName name="QB_ROW_296340" localSheetId="0" hidden="1">'2024-25 Proposed Budget'!$C$71</definedName>
    <definedName name="QB_ROW_297050" localSheetId="1" hidden="1">'2024-25 Budget Detail Sheet'!#REF!</definedName>
    <definedName name="QB_ROW_297050" localSheetId="0" hidden="1">'2024-25 Proposed Budget'!#REF!</definedName>
    <definedName name="QB_ROW_297350" localSheetId="1" hidden="1">'2024-25 Budget Detail Sheet'!#REF!</definedName>
    <definedName name="QB_ROW_297350" localSheetId="0" hidden="1">'2024-25 Proposed Budget'!#REF!</definedName>
    <definedName name="QB_ROW_298060" localSheetId="1" hidden="1">'2024-25 Budget Detail Sheet'!#REF!</definedName>
    <definedName name="QB_ROW_298060" localSheetId="0" hidden="1">'2024-25 Proposed Budget'!#REF!</definedName>
    <definedName name="QB_ROW_298270" localSheetId="1" hidden="1">'2024-25 Budget Detail Sheet'!#REF!</definedName>
    <definedName name="QB_ROW_298270" localSheetId="0" hidden="1">'2024-25 Proposed Budget'!#REF!</definedName>
    <definedName name="QB_ROW_298360" localSheetId="1" hidden="1">'2024-25 Budget Detail Sheet'!#REF!</definedName>
    <definedName name="QB_ROW_298360" localSheetId="0" hidden="1">'2024-25 Proposed Budget'!#REF!</definedName>
    <definedName name="QB_ROW_307070" localSheetId="1" hidden="1">'2024-25 Budget Detail Sheet'!$E$10</definedName>
    <definedName name="QB_ROW_307070" localSheetId="0" hidden="1">'2024-25 Proposed Budget'!$E$9</definedName>
    <definedName name="QB_ROW_307370" localSheetId="1" hidden="1">'2024-25 Budget Detail Sheet'!$E$17</definedName>
    <definedName name="QB_ROW_307370" localSheetId="0" hidden="1">'2024-25 Proposed Budget'!$D$16</definedName>
    <definedName name="QB_ROW_308280" localSheetId="1" hidden="1">'2024-25 Budget Detail Sheet'!$F$13</definedName>
    <definedName name="QB_ROW_308280" localSheetId="0" hidden="1">'2024-25 Proposed Budget'!$F$12</definedName>
    <definedName name="QB_ROW_309280" localSheetId="1" hidden="1">'2024-25 Budget Detail Sheet'!$F$12</definedName>
    <definedName name="QB_ROW_309280" localSheetId="0" hidden="1">'2024-25 Proposed Budget'!$F$11</definedName>
    <definedName name="QB_ROW_310280" localSheetId="1" hidden="1">'2024-25 Budget Detail Sheet'!$F$11</definedName>
    <definedName name="QB_ROW_310280" localSheetId="0" hidden="1">'2024-25 Proposed Budget'!$F$10</definedName>
    <definedName name="QB_ROW_311280" localSheetId="1" hidden="1">'2024-25 Budget Detail Sheet'!$F$14</definedName>
    <definedName name="QB_ROW_311280" localSheetId="0" hidden="1">'2024-25 Proposed Budget'!$F$13</definedName>
    <definedName name="QB_ROW_44260" localSheetId="1" hidden="1">'2024-25 Budget Detail Sheet'!#REF!</definedName>
    <definedName name="QB_ROW_44260" localSheetId="0" hidden="1">'2024-25 Proposed Budget'!#REF!</definedName>
    <definedName name="QB_ROW_53050" localSheetId="1" hidden="1">'2024-25 Budget Detail Sheet'!$C$35</definedName>
    <definedName name="QB_ROW_53050" localSheetId="0" hidden="1">'2024-25 Proposed Budget'!$C$33</definedName>
    <definedName name="QB_ROW_53350" localSheetId="1" hidden="1">'2024-25 Budget Detail Sheet'!$C$49</definedName>
    <definedName name="QB_ROW_53350" localSheetId="0" hidden="1">'2024-25 Proposed Budget'!$D$47</definedName>
    <definedName name="QB_ROW_54060" localSheetId="1" hidden="1">'2024-25 Budget Detail Sheet'!#REF!</definedName>
    <definedName name="QB_ROW_54060" localSheetId="0" hidden="1">'2024-25 Proposed Budget'!#REF!</definedName>
    <definedName name="QB_ROW_54360" localSheetId="1" hidden="1">'2024-25 Budget Detail Sheet'!$D$47</definedName>
    <definedName name="QB_ROW_54360" localSheetId="0" hidden="1">'2024-25 Proposed Budget'!$D$45</definedName>
    <definedName name="QB_ROW_55270" localSheetId="1" hidden="1">'2024-25 Budget Detail Sheet'!$E$45</definedName>
    <definedName name="QB_ROW_55270" localSheetId="0" hidden="1">'2024-25 Proposed Budget'!$E$43</definedName>
    <definedName name="QB_ROW_56260" localSheetId="1" hidden="1">'2024-25 Budget Detail Sheet'!$D$33</definedName>
    <definedName name="QB_ROW_56260" localSheetId="0" hidden="1">'2024-25 Proposed Budget'!$D$31</definedName>
    <definedName name="QB_ROW_58260" localSheetId="1" hidden="1">'2024-25 Budget Detail Sheet'!$D$51</definedName>
    <definedName name="QB_ROW_58260" localSheetId="0" hidden="1">'2024-25 Proposed Budget'!$D$49</definedName>
    <definedName name="QB_ROW_59260" localSheetId="1" hidden="1">'2024-25 Budget Detail Sheet'!$D$48</definedName>
    <definedName name="QB_ROW_59260" localSheetId="0" hidden="1">'2024-25 Proposed Budget'!$D$46</definedName>
    <definedName name="QB_ROW_60270" localSheetId="1" hidden="1">'2024-25 Budget Detail Sheet'!$E$44</definedName>
    <definedName name="QB_ROW_60270" localSheetId="0" hidden="1">'2024-25 Proposed Budget'!$E$42</definedName>
    <definedName name="QB_ROW_61260" localSheetId="1" hidden="1">'2024-25 Budget Detail Sheet'!$D$71</definedName>
    <definedName name="QB_ROW_61260" localSheetId="0" hidden="1">'2024-25 Proposed Budget'!$D$69</definedName>
    <definedName name="QB_ROW_69050" localSheetId="1" hidden="1">'2024-25 Budget Detail Sheet'!$C$50</definedName>
    <definedName name="QB_ROW_69050" localSheetId="0" hidden="1">'2024-25 Proposed Budget'!$C$48</definedName>
    <definedName name="QB_ROW_69350" localSheetId="1" hidden="1">'2024-25 Budget Detail Sheet'!$C$67</definedName>
    <definedName name="QB_ROW_69350" localSheetId="0" hidden="1">'2024-25 Proposed Budget'!$D$65</definedName>
    <definedName name="QB_ROW_70270" localSheetId="1" hidden="1">'2024-25 Budget Detail Sheet'!$E$60</definedName>
    <definedName name="QB_ROW_70270" localSheetId="0" hidden="1">'2024-25 Proposed Budget'!$E$58</definedName>
    <definedName name="QB_ROW_71270" localSheetId="1" hidden="1">'2024-25 Budget Detail Sheet'!$E$63</definedName>
    <definedName name="QB_ROW_71270" localSheetId="0" hidden="1">'2024-25 Proposed Budget'!$E$61</definedName>
    <definedName name="QB_ROW_72060" localSheetId="1" hidden="1">'2024-25 Budget Detail Sheet'!#REF!</definedName>
    <definedName name="QB_ROW_72060" localSheetId="0" hidden="1">'2024-25 Proposed Budget'!#REF!</definedName>
    <definedName name="QB_ROW_72270" localSheetId="1" hidden="1">'2024-25 Budget Detail Sheet'!#REF!</definedName>
    <definedName name="QB_ROW_72270" localSheetId="0" hidden="1">'2024-25 Proposed Budget'!#REF!</definedName>
    <definedName name="QB_ROW_72360" localSheetId="1" hidden="1">'2024-25 Budget Detail Sheet'!$D$66</definedName>
    <definedName name="QB_ROW_72360" localSheetId="0" hidden="1">'2024-25 Proposed Budget'!$D$64</definedName>
    <definedName name="QB_ROW_73270" localSheetId="1" hidden="1">'2024-25 Budget Detail Sheet'!$E$52</definedName>
    <definedName name="QB_ROW_73270" localSheetId="0" hidden="1">'2024-25 Proposed Budget'!$E$50</definedName>
    <definedName name="QB_ROW_74270" localSheetId="1" hidden="1">'2024-25 Budget Detail Sheet'!$E$53</definedName>
    <definedName name="QB_ROW_74270" localSheetId="0" hidden="1">'2024-25 Proposed Budget'!$E$51</definedName>
    <definedName name="QB_ROW_75270" localSheetId="1" hidden="1">'2024-25 Budget Detail Sheet'!$E$61</definedName>
    <definedName name="QB_ROW_75270" localSheetId="0" hidden="1">'2024-25 Proposed Budget'!$E$59</definedName>
    <definedName name="QB_ROW_82050" localSheetId="1" hidden="1">'2024-25 Budget Detail Sheet'!#REF!</definedName>
    <definedName name="QB_ROW_82050" localSheetId="0" hidden="1">'2024-25 Proposed Budget'!#REF!</definedName>
    <definedName name="QB_ROW_82350" localSheetId="1" hidden="1">'2024-25 Budget Detail Sheet'!$C$72</definedName>
    <definedName name="QB_ROW_82350" localSheetId="0" hidden="1">'2024-25 Proposed Budget'!$D$70</definedName>
    <definedName name="QB_ROW_85260" localSheetId="1" hidden="1">'2024-25 Budget Detail Sheet'!$D$68</definedName>
    <definedName name="QB_ROW_85260" localSheetId="0" hidden="1">'2024-25 Proposed Budget'!$D$66</definedName>
    <definedName name="QB_ROW_86260" localSheetId="1" hidden="1">'2024-25 Budget Detail Sheet'!$D$69</definedName>
    <definedName name="QB_ROW_86260" localSheetId="0" hidden="1">'2024-25 Proposed Budget'!$D$67</definedName>
    <definedName name="QB_ROW_86321" localSheetId="1" hidden="1">'2024-25 Budget Detail Sheet'!#REF!</definedName>
    <definedName name="QB_ROW_86321" localSheetId="0" hidden="1">'2024-25 Proposed Budget'!#REF!</definedName>
    <definedName name="QB_ROW_87060" localSheetId="1" hidden="1">'2024-25 Budget Detail Sheet'!#REF!</definedName>
    <definedName name="QB_ROW_87060" localSheetId="0" hidden="1">'2024-25 Proposed Budget'!#REF!</definedName>
    <definedName name="QB_ROW_87360" localSheetId="1" hidden="1">'2024-25 Budget Detail Sheet'!$D$58</definedName>
    <definedName name="QB_ROW_87360" localSheetId="0" hidden="1">'2024-25 Proposed Budget'!$D$56</definedName>
    <definedName name="QB_ROW_88270" localSheetId="1" hidden="1">'2024-25 Budget Detail Sheet'!$E$55</definedName>
    <definedName name="QB_ROW_88270" localSheetId="0" hidden="1">'2024-25 Proposed Budget'!$E$53</definedName>
    <definedName name="QB_ROW_89270" localSheetId="1" hidden="1">'2024-25 Budget Detail Sheet'!$E$56</definedName>
    <definedName name="QB_ROW_89270" localSheetId="0" hidden="1">'2024-25 Proposed Budget'!$E$54</definedName>
    <definedName name="QB_ROW_90280" localSheetId="1" hidden="1">'2024-25 Budget Detail Sheet'!$F$38</definedName>
    <definedName name="QB_ROW_90280" localSheetId="0" hidden="1">'2024-25 Proposed Budget'!$F$36</definedName>
    <definedName name="QB_ROW_91270" localSheetId="1" hidden="1">'2024-25 Budget Detail Sheet'!$E$57</definedName>
    <definedName name="QB_ROW_91270" localSheetId="0" hidden="1">'2024-25 Proposed Budget'!$E$55</definedName>
    <definedName name="QB_ROW_92260" localSheetId="1" hidden="1">'2024-25 Budget Detail Sheet'!$D$31</definedName>
    <definedName name="QB_ROW_92260" localSheetId="0" hidden="1">'2024-25 Proposed Budget'!$D$29</definedName>
    <definedName name="QB_ROW_94260" localSheetId="1" hidden="1">'2024-25 Budget Detail Sheet'!#REF!</definedName>
    <definedName name="QB_ROW_94260" localSheetId="0" hidden="1">'2024-25 Proposed Budget'!#REF!</definedName>
    <definedName name="QB_ROW_97070" localSheetId="1" hidden="1">'2024-25 Budget Detail Sheet'!$E$5</definedName>
    <definedName name="QB_ROW_97070" localSheetId="0" hidden="1">'2024-25 Proposed Budget'!$E$4</definedName>
    <definedName name="QB_ROW_97370" localSheetId="1" hidden="1">'2024-25 Budget Detail Sheet'!$E$8</definedName>
    <definedName name="QB_ROW_97370" localSheetId="0" hidden="1">'2024-25 Proposed Budget'!$D$7</definedName>
    <definedName name="QB_SUBTITLE_3" localSheetId="1" hidden="1">'2024-25 Budget Detail Sheet'!#REF!</definedName>
    <definedName name="QB_SUBTITLE_3" localSheetId="0" hidden="1">'2024-25 Proposed Budget'!#REF!</definedName>
    <definedName name="QB_TIME_5" localSheetId="1" hidden="1">'2024-25 Budget Detail Sheet'!#REF!</definedName>
    <definedName name="QB_TIME_5" localSheetId="0" hidden="1">'2024-25 Proposed Budget'!#REF!</definedName>
    <definedName name="QB_TITLE_2" localSheetId="1" hidden="1">'2024-25 Budget Detail Sheet'!#REF!</definedName>
    <definedName name="QB_TITLE_2" localSheetId="0" hidden="1">'2024-25 Proposed Budget'!#REF!</definedName>
    <definedName name="QBCANSUPPORTUPDATE" localSheetId="1">TRUE</definedName>
    <definedName name="QBCANSUPPORTUPDATE" localSheetId="0">TRUE</definedName>
    <definedName name="QBCOMPANYFILENAME" localSheetId="1">"Z:\Dockton Water.qbw"</definedName>
    <definedName name="QBCOMPANYFILENAME" localSheetId="0">"Z:\Dockton Water.qbw"</definedName>
    <definedName name="QBENDDATE" localSheetId="1">20231231</definedName>
    <definedName name="QBENDDATE" localSheetId="0">20231231</definedName>
    <definedName name="QBHEADERSONSCREEN" localSheetId="1">TRUE</definedName>
    <definedName name="QBHEADERSONSCREEN" localSheetId="0">TRUE</definedName>
    <definedName name="QBMETADATASIZE" localSheetId="1">5931</definedName>
    <definedName name="QBMETADATASIZE" localSheetId="0">5931</definedName>
    <definedName name="QBPRESERVECOLOR" localSheetId="1">TRUE</definedName>
    <definedName name="QBPRESERVECOLOR" localSheetId="0">TRUE</definedName>
    <definedName name="QBPRESERVEFONT" localSheetId="1">TRUE</definedName>
    <definedName name="QBPRESERVEFONT" localSheetId="0">TRUE</definedName>
    <definedName name="QBPRESERVEROWHEIGHT" localSheetId="1">TRUE</definedName>
    <definedName name="QBPRESERVEROWHEIGHT" localSheetId="0">TRUE</definedName>
    <definedName name="QBPRESERVESPACE" localSheetId="1">TRUE</definedName>
    <definedName name="QBPRESERVESPACE" localSheetId="0">TRUE</definedName>
    <definedName name="QBREPORTCOLAXIS" localSheetId="1">19</definedName>
    <definedName name="QBREPORTCOLAXIS" localSheetId="0">19</definedName>
    <definedName name="QBREPORTCOMPANYID" localSheetId="1">"5baf03e0128d40ee89fe6c32ca9716ba"</definedName>
    <definedName name="QBREPORTCOMPANYID" localSheetId="0">"5baf03e0128d40ee89fe6c32ca9716ba"</definedName>
    <definedName name="QBREPORTCOMPARECOL_ANNUALBUDGET" localSheetId="1">FALSE</definedName>
    <definedName name="QBREPORTCOMPARECOL_ANNUALBUDGET" localSheetId="0">FALSE</definedName>
    <definedName name="QBREPORTCOMPARECOL_AVGCOGS" localSheetId="1">FALSE</definedName>
    <definedName name="QBREPORTCOMPARECOL_AVGCOGS" localSheetId="0">FALSE</definedName>
    <definedName name="QBREPORTCOMPARECOL_AVGPRICE" localSheetId="1">FALSE</definedName>
    <definedName name="QBREPORTCOMPARECOL_AVGPRICE" localSheetId="0">FALSE</definedName>
    <definedName name="QBREPORTCOMPARECOL_BUDDIFF" localSheetId="1">FALSE</definedName>
    <definedName name="QBREPORTCOMPARECOL_BUDDIFF" localSheetId="0">FALSE</definedName>
    <definedName name="QBREPORTCOMPARECOL_BUDGET" localSheetId="1">TRUE</definedName>
    <definedName name="QBREPORTCOMPARECOL_BUDGET" localSheetId="0">TRUE</definedName>
    <definedName name="QBREPORTCOMPARECOL_BUDPCT" localSheetId="1">TRUE</definedName>
    <definedName name="QBREPORTCOMPARECOL_BUDPCT" localSheetId="0">TRUE</definedName>
    <definedName name="QBREPORTCOMPARECOL_COGS" localSheetId="1">FALSE</definedName>
    <definedName name="QBREPORTCOMPARECOL_COGS" localSheetId="0">FALSE</definedName>
    <definedName name="QBREPORTCOMPARECOL_EXCLUDEAMOUNT" localSheetId="1">FALSE</definedName>
    <definedName name="QBREPORTCOMPARECOL_EXCLUDEAMOUNT" localSheetId="0">FALSE</definedName>
    <definedName name="QBREPORTCOMPARECOL_EXCLUDECURPERIOD" localSheetId="1">FALSE</definedName>
    <definedName name="QBREPORTCOMPARECOL_EXCLUDECURPERIOD" localSheetId="0">FALSE</definedName>
    <definedName name="QBREPORTCOMPARECOL_FORECAST" localSheetId="1">FALSE</definedName>
    <definedName name="QBREPORTCOMPARECOL_FORECAST" localSheetId="0">FALSE</definedName>
    <definedName name="QBREPORTCOMPARECOL_GROSSMARGIN" localSheetId="1">FALSE</definedName>
    <definedName name="QBREPORTCOMPARECOL_GROSSMARGIN" localSheetId="0">FALSE</definedName>
    <definedName name="QBREPORTCOMPARECOL_GROSSMARGINPCT" localSheetId="1">FALSE</definedName>
    <definedName name="QBREPORTCOMPARECOL_GROSSMARGINPCT" localSheetId="0">FALSE</definedName>
    <definedName name="QBREPORTCOMPARECOL_HOURS" localSheetId="1">FALSE</definedName>
    <definedName name="QBREPORTCOMPARECOL_HOURS" localSheetId="0">FALSE</definedName>
    <definedName name="QBREPORTCOMPARECOL_PCTCOL" localSheetId="1">FALSE</definedName>
    <definedName name="QBREPORTCOMPARECOL_PCTCOL" localSheetId="0">FALSE</definedName>
    <definedName name="QBREPORTCOMPARECOL_PCTEXPENSE" localSheetId="1">FALSE</definedName>
    <definedName name="QBREPORTCOMPARECOL_PCTEXPENSE" localSheetId="0">FALSE</definedName>
    <definedName name="QBREPORTCOMPARECOL_PCTINCOME" localSheetId="1">FALSE</definedName>
    <definedName name="QBREPORTCOMPARECOL_PCTINCOME" localSheetId="0">FALSE</definedName>
    <definedName name="QBREPORTCOMPARECOL_PCTOFSALES" localSheetId="1">FALSE</definedName>
    <definedName name="QBREPORTCOMPARECOL_PCTOFSALES" localSheetId="0">FALSE</definedName>
    <definedName name="QBREPORTCOMPARECOL_PCTROW" localSheetId="1">FALSE</definedName>
    <definedName name="QBREPORTCOMPARECOL_PCTROW" localSheetId="0">FALSE</definedName>
    <definedName name="QBREPORTCOMPARECOL_PPDIFF" localSheetId="1">FALSE</definedName>
    <definedName name="QBREPORTCOMPARECOL_PPDIFF" localSheetId="0">FALSE</definedName>
    <definedName name="QBREPORTCOMPARECOL_PPPCT" localSheetId="1">FALSE</definedName>
    <definedName name="QBREPORTCOMPARECOL_PPPCT" localSheetId="0">FALSE</definedName>
    <definedName name="QBREPORTCOMPARECOL_PREVPERIOD" localSheetId="1">FALSE</definedName>
    <definedName name="QBREPORTCOMPARECOL_PREVPERIOD" localSheetId="0">FALSE</definedName>
    <definedName name="QBREPORTCOMPARECOL_PREVYEAR" localSheetId="1">FALSE</definedName>
    <definedName name="QBREPORTCOMPARECOL_PREVYEAR" localSheetId="0">FALSE</definedName>
    <definedName name="QBREPORTCOMPARECOL_PYDIFF" localSheetId="1">FALSE</definedName>
    <definedName name="QBREPORTCOMPARECOL_PYDIFF" localSheetId="0">FALSE</definedName>
    <definedName name="QBREPORTCOMPARECOL_PYPCT" localSheetId="1">FALSE</definedName>
    <definedName name="QBREPORTCOMPARECOL_PYPCT" localSheetId="0">FALSE</definedName>
    <definedName name="QBREPORTCOMPARECOL_QTY" localSheetId="1">FALSE</definedName>
    <definedName name="QBREPORTCOMPARECOL_QTY" localSheetId="0">FALSE</definedName>
    <definedName name="QBREPORTCOMPARECOL_RATE" localSheetId="1">FALSE</definedName>
    <definedName name="QBREPORTCOMPARECOL_RATE" localSheetId="0">FALSE</definedName>
    <definedName name="QBREPORTCOMPARECOL_TRIPBILLEDMILES" localSheetId="1">FALSE</definedName>
    <definedName name="QBREPORTCOMPARECOL_TRIPBILLEDMILES" localSheetId="0">FALSE</definedName>
    <definedName name="QBREPORTCOMPARECOL_TRIPBILLINGAMOUNT" localSheetId="1">FALSE</definedName>
    <definedName name="QBREPORTCOMPARECOL_TRIPBILLINGAMOUNT" localSheetId="0">FALSE</definedName>
    <definedName name="QBREPORTCOMPARECOL_TRIPMILES" localSheetId="1">FALSE</definedName>
    <definedName name="QBREPORTCOMPARECOL_TRIPMILES" localSheetId="0">FALSE</definedName>
    <definedName name="QBREPORTCOMPARECOL_TRIPNOTBILLABLEMILES" localSheetId="1">FALSE</definedName>
    <definedName name="QBREPORTCOMPARECOL_TRIPNOTBILLABLEMILES" localSheetId="0">FALSE</definedName>
    <definedName name="QBREPORTCOMPARECOL_TRIPTAXDEDUCTIBLEAMOUNT" localSheetId="1">FALSE</definedName>
    <definedName name="QBREPORTCOMPARECOL_TRIPTAXDEDUCTIBLEAMOUNT" localSheetId="0">FALSE</definedName>
    <definedName name="QBREPORTCOMPARECOL_TRIPUNBILLEDMILES" localSheetId="1">FALSE</definedName>
    <definedName name="QBREPORTCOMPARECOL_TRIPUNBILLEDMILES" localSheetId="0">FALSE</definedName>
    <definedName name="QBREPORTCOMPARECOL_YTD" localSheetId="1">FALSE</definedName>
    <definedName name="QBREPORTCOMPARECOL_YTD" localSheetId="0">FALSE</definedName>
    <definedName name="QBREPORTCOMPARECOL_YTDBUDGET" localSheetId="1">FALSE</definedName>
    <definedName name="QBREPORTCOMPARECOL_YTDBUDGET" localSheetId="0">FALSE</definedName>
    <definedName name="QBREPORTCOMPARECOL_YTDPCT" localSheetId="1">FALSE</definedName>
    <definedName name="QBREPORTCOMPARECOL_YTDPCT" localSheetId="0">FALSE</definedName>
    <definedName name="QBREPORTROWAXIS" localSheetId="1">11</definedName>
    <definedName name="QBREPORTROWAXIS" localSheetId="0">11</definedName>
    <definedName name="QBREPORTSUBCOLAXIS" localSheetId="1">24</definedName>
    <definedName name="QBREPORTSUBCOLAXIS" localSheetId="0">24</definedName>
    <definedName name="QBREPORTTYPE" localSheetId="1">288</definedName>
    <definedName name="QBREPORTTYPE" localSheetId="0">288</definedName>
    <definedName name="QBROWHEADERS" localSheetId="1">9</definedName>
    <definedName name="QBROWHEADERS" localSheetId="0">9</definedName>
    <definedName name="QBSTARTDATE" localSheetId="1">20230701</definedName>
    <definedName name="QBSTARTDATE" localSheetId="0">20230701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9" i="3" l="1"/>
  <c r="H23" i="3"/>
  <c r="H24" i="3" s="1"/>
  <c r="G154" i="3"/>
  <c r="G153" i="3"/>
  <c r="G150" i="3"/>
  <c r="G148" i="3"/>
  <c r="G145" i="3"/>
  <c r="G143" i="3"/>
  <c r="G140" i="3"/>
  <c r="G133" i="3"/>
  <c r="G130" i="3"/>
  <c r="G121" i="3"/>
  <c r="G109" i="3"/>
  <c r="G105" i="3"/>
  <c r="G101" i="3"/>
  <c r="G94" i="3"/>
  <c r="G90" i="3"/>
  <c r="G80" i="3"/>
  <c r="G81" i="3" s="1"/>
  <c r="G70" i="3"/>
  <c r="G160" i="3" s="1"/>
  <c r="G64" i="3"/>
  <c r="G60" i="3"/>
  <c r="G56" i="3"/>
  <c r="G52" i="3"/>
  <c r="G45" i="3"/>
  <c r="G37" i="3"/>
  <c r="G41" i="3" s="1"/>
  <c r="G32" i="3"/>
  <c r="G157" i="3" s="1"/>
  <c r="G24" i="3"/>
  <c r="G21" i="3"/>
  <c r="G151" i="3" s="1"/>
  <c r="G16" i="3"/>
  <c r="G7" i="3"/>
  <c r="I154" i="3"/>
  <c r="I153" i="3"/>
  <c r="I150" i="3"/>
  <c r="I145" i="3"/>
  <c r="H143" i="3"/>
  <c r="I133" i="3"/>
  <c r="H132" i="3"/>
  <c r="H131" i="3"/>
  <c r="I130" i="3"/>
  <c r="H126" i="3"/>
  <c r="H130" i="3" s="1"/>
  <c r="I121" i="3"/>
  <c r="H118" i="3"/>
  <c r="H116" i="3"/>
  <c r="H150" i="3" s="1"/>
  <c r="I109" i="3"/>
  <c r="H107" i="3"/>
  <c r="I105" i="3"/>
  <c r="I146" i="3" s="1"/>
  <c r="H103" i="3"/>
  <c r="I101" i="3"/>
  <c r="H101" i="3"/>
  <c r="I94" i="3"/>
  <c r="H94" i="3"/>
  <c r="I90" i="3"/>
  <c r="H79" i="3"/>
  <c r="H87" i="3" s="1"/>
  <c r="I78" i="3"/>
  <c r="I80" i="3" s="1"/>
  <c r="H78" i="3"/>
  <c r="H73" i="3"/>
  <c r="I70" i="3"/>
  <c r="I160" i="3" s="1"/>
  <c r="H69" i="3"/>
  <c r="H67" i="3"/>
  <c r="H66" i="3"/>
  <c r="I64" i="3"/>
  <c r="H63" i="3"/>
  <c r="H62" i="3"/>
  <c r="H61" i="3"/>
  <c r="I60" i="3"/>
  <c r="H59" i="3"/>
  <c r="H58" i="3"/>
  <c r="I56" i="3"/>
  <c r="H55" i="3"/>
  <c r="H54" i="3"/>
  <c r="H53" i="3"/>
  <c r="I52" i="3"/>
  <c r="H51" i="3"/>
  <c r="H50" i="3"/>
  <c r="I45" i="3"/>
  <c r="H45" i="3"/>
  <c r="I39" i="3"/>
  <c r="H38" i="3"/>
  <c r="I36" i="3"/>
  <c r="H36" i="3"/>
  <c r="I35" i="3"/>
  <c r="H35" i="3"/>
  <c r="H32" i="3"/>
  <c r="H157" i="3" s="1"/>
  <c r="I29" i="3"/>
  <c r="I24" i="3"/>
  <c r="I21" i="3"/>
  <c r="H20" i="3"/>
  <c r="H19" i="3"/>
  <c r="H17" i="3"/>
  <c r="H148" i="3" s="1"/>
  <c r="I16" i="3"/>
  <c r="H14" i="3"/>
  <c r="H13" i="3"/>
  <c r="H12" i="3"/>
  <c r="H11" i="3"/>
  <c r="H10" i="3"/>
  <c r="H8" i="3"/>
  <c r="H145" i="3" s="1"/>
  <c r="I7" i="3"/>
  <c r="H6" i="3"/>
  <c r="H5" i="3"/>
  <c r="G155" i="3" l="1"/>
  <c r="G161" i="3"/>
  <c r="G147" i="3"/>
  <c r="G65" i="3"/>
  <c r="G159" i="3" s="1"/>
  <c r="G18" i="3"/>
  <c r="G22" i="3" s="1"/>
  <c r="G25" i="3" s="1"/>
  <c r="G144" i="3"/>
  <c r="G47" i="3"/>
  <c r="G158" i="3" s="1"/>
  <c r="G95" i="3"/>
  <c r="G110" i="3"/>
  <c r="G117" i="3" s="1"/>
  <c r="G122" i="3" s="1"/>
  <c r="G134" i="3" s="1"/>
  <c r="G162" i="3"/>
  <c r="G146" i="3"/>
  <c r="H7" i="3"/>
  <c r="H144" i="3" s="1"/>
  <c r="H37" i="3"/>
  <c r="H41" i="3" s="1"/>
  <c r="H80" i="3"/>
  <c r="H81" i="3" s="1"/>
  <c r="I30" i="3"/>
  <c r="I110" i="3"/>
  <c r="I117" i="3" s="1"/>
  <c r="H140" i="3"/>
  <c r="I65" i="3"/>
  <c r="I159" i="3" s="1"/>
  <c r="H16" i="3"/>
  <c r="I161" i="3"/>
  <c r="H154" i="3"/>
  <c r="H56" i="3"/>
  <c r="H60" i="3"/>
  <c r="I17" i="3"/>
  <c r="H52" i="3"/>
  <c r="H70" i="3"/>
  <c r="H105" i="3"/>
  <c r="H109" i="3"/>
  <c r="H21" i="3"/>
  <c r="I37" i="3"/>
  <c r="H64" i="3"/>
  <c r="H153" i="3"/>
  <c r="I155" i="3"/>
  <c r="I151" i="3"/>
  <c r="H90" i="3"/>
  <c r="I144" i="3"/>
  <c r="I147" i="3"/>
  <c r="H121" i="3"/>
  <c r="H133" i="3"/>
  <c r="I162" i="3"/>
  <c r="L38" i="1"/>
  <c r="L37" i="1"/>
  <c r="I113" i="1"/>
  <c r="I61" i="1"/>
  <c r="I55" i="1"/>
  <c r="I40" i="1"/>
  <c r="I9" i="1"/>
  <c r="I13" i="1"/>
  <c r="I15" i="1"/>
  <c r="I7" i="1"/>
  <c r="I6" i="1"/>
  <c r="G149" i="3" l="1"/>
  <c r="G152" i="3" s="1"/>
  <c r="G156" i="3" s="1"/>
  <c r="G163" i="3"/>
  <c r="H18" i="3"/>
  <c r="H22" i="3" s="1"/>
  <c r="G71" i="3"/>
  <c r="H95" i="3"/>
  <c r="I77" i="3" s="1"/>
  <c r="I32" i="3"/>
  <c r="I136" i="3"/>
  <c r="H65" i="3"/>
  <c r="I148" i="3"/>
  <c r="I18" i="3"/>
  <c r="H151" i="3"/>
  <c r="H110" i="3"/>
  <c r="H146" i="3"/>
  <c r="H160" i="3"/>
  <c r="H147" i="3"/>
  <c r="I41" i="3"/>
  <c r="H162" i="3"/>
  <c r="H155" i="3"/>
  <c r="H47" i="3"/>
  <c r="H161" i="3"/>
  <c r="L97" i="1"/>
  <c r="G164" i="3" l="1"/>
  <c r="G72" i="3"/>
  <c r="G74" i="3" s="1"/>
  <c r="H149" i="3"/>
  <c r="H152" i="3" s="1"/>
  <c r="I149" i="3"/>
  <c r="I152" i="3" s="1"/>
  <c r="I157" i="3"/>
  <c r="I140" i="3"/>
  <c r="H117" i="3"/>
  <c r="H159" i="3"/>
  <c r="I22" i="3"/>
  <c r="H25" i="3"/>
  <c r="I47" i="3"/>
  <c r="H71" i="3"/>
  <c r="H158" i="3"/>
  <c r="I81" i="3"/>
  <c r="I95" i="3" l="1"/>
  <c r="H122" i="3"/>
  <c r="H72" i="3"/>
  <c r="H156" i="3"/>
  <c r="H163" i="3"/>
  <c r="I158" i="3"/>
  <c r="I71" i="3"/>
  <c r="B180" i="1"/>
  <c r="C155" i="1"/>
  <c r="C181" i="1" s="1"/>
  <c r="K107" i="1"/>
  <c r="L170" i="1"/>
  <c r="L169" i="1"/>
  <c r="L166" i="1"/>
  <c r="L161" i="1"/>
  <c r="J170" i="1"/>
  <c r="H170" i="1"/>
  <c r="J169" i="1"/>
  <c r="H169" i="1"/>
  <c r="J166" i="1"/>
  <c r="J164" i="1"/>
  <c r="H164" i="1"/>
  <c r="J161" i="1"/>
  <c r="H161" i="1"/>
  <c r="J159" i="1"/>
  <c r="I159" i="1"/>
  <c r="H159" i="1"/>
  <c r="G161" i="1"/>
  <c r="G170" i="1"/>
  <c r="G169" i="1"/>
  <c r="G164" i="1"/>
  <c r="G159" i="1"/>
  <c r="G154" i="1"/>
  <c r="I153" i="1"/>
  <c r="H154" i="1"/>
  <c r="M151" i="1"/>
  <c r="I152" i="1"/>
  <c r="M152" i="1" s="1"/>
  <c r="J154" i="1"/>
  <c r="K150" i="1"/>
  <c r="M130" i="1"/>
  <c r="M125" i="1"/>
  <c r="M124" i="1"/>
  <c r="M123" i="1"/>
  <c r="M113" i="1"/>
  <c r="M51" i="1"/>
  <c r="M48" i="1"/>
  <c r="M45" i="1"/>
  <c r="M30" i="1"/>
  <c r="M109" i="1"/>
  <c r="M6" i="1"/>
  <c r="M82" i="1"/>
  <c r="M106" i="1" s="1"/>
  <c r="M149" i="1" s="1"/>
  <c r="K140" i="1"/>
  <c r="K131" i="1"/>
  <c r="K82" i="1"/>
  <c r="K106" i="1" s="1"/>
  <c r="K149" i="1" s="1"/>
  <c r="K100" i="1"/>
  <c r="K99" i="1"/>
  <c r="K96" i="1"/>
  <c r="K93" i="1"/>
  <c r="K92" i="1"/>
  <c r="K83" i="1"/>
  <c r="K70" i="1"/>
  <c r="K59" i="1"/>
  <c r="K51" i="1"/>
  <c r="K48" i="1"/>
  <c r="K45" i="1"/>
  <c r="K44" i="1"/>
  <c r="K42" i="1"/>
  <c r="K33" i="1"/>
  <c r="K30" i="1"/>
  <c r="K4" i="1"/>
  <c r="I24" i="1"/>
  <c r="K24" i="1" s="1"/>
  <c r="I65" i="1"/>
  <c r="L54" i="1"/>
  <c r="L41" i="1"/>
  <c r="H74" i="3" l="1"/>
  <c r="I3" i="3"/>
  <c r="H134" i="3"/>
  <c r="I97" i="3" s="1"/>
  <c r="I163" i="3"/>
  <c r="H164" i="3"/>
  <c r="L171" i="1"/>
  <c r="I154" i="1"/>
  <c r="L150" i="1" s="1"/>
  <c r="M150" i="1" s="1"/>
  <c r="G171" i="1"/>
  <c r="K159" i="1"/>
  <c r="J171" i="1"/>
  <c r="H171" i="1"/>
  <c r="K152" i="1"/>
  <c r="M153" i="1"/>
  <c r="M24" i="1"/>
  <c r="K153" i="1"/>
  <c r="M65" i="1"/>
  <c r="K65" i="1"/>
  <c r="I20" i="1"/>
  <c r="M20" i="1" s="1"/>
  <c r="L144" i="1"/>
  <c r="J144" i="1"/>
  <c r="H144" i="1"/>
  <c r="G144" i="1"/>
  <c r="I143" i="1"/>
  <c r="I142" i="1"/>
  <c r="L101" i="1"/>
  <c r="J101" i="1"/>
  <c r="I101" i="1"/>
  <c r="H101" i="1"/>
  <c r="G101" i="1"/>
  <c r="L141" i="1"/>
  <c r="J141" i="1"/>
  <c r="H141" i="1"/>
  <c r="G141" i="1"/>
  <c r="I137" i="1"/>
  <c r="K137" i="1" s="1"/>
  <c r="L132" i="1"/>
  <c r="J132" i="1"/>
  <c r="H132" i="1"/>
  <c r="G132" i="1"/>
  <c r="I129" i="1"/>
  <c r="I169" i="1" s="1"/>
  <c r="K169" i="1" s="1"/>
  <c r="I126" i="1"/>
  <c r="I166" i="1" s="1"/>
  <c r="M166" i="1" s="1"/>
  <c r="H126" i="1"/>
  <c r="H166" i="1" s="1"/>
  <c r="G126" i="1"/>
  <c r="G166" i="1" s="1"/>
  <c r="L119" i="1"/>
  <c r="J119" i="1"/>
  <c r="H119" i="1"/>
  <c r="G119" i="1"/>
  <c r="I117" i="1"/>
  <c r="L115" i="1"/>
  <c r="L162" i="1" s="1"/>
  <c r="J115" i="1"/>
  <c r="J162" i="1" s="1"/>
  <c r="H115" i="1"/>
  <c r="H162" i="1" s="1"/>
  <c r="G115" i="1"/>
  <c r="G162" i="1" s="1"/>
  <c r="L111" i="1"/>
  <c r="J111" i="1"/>
  <c r="H111" i="1"/>
  <c r="G111" i="1"/>
  <c r="L85" i="1"/>
  <c r="J87" i="1"/>
  <c r="J88" i="1" s="1"/>
  <c r="H87" i="1"/>
  <c r="H88" i="1" s="1"/>
  <c r="G87" i="1"/>
  <c r="G88" i="1" s="1"/>
  <c r="I86" i="1"/>
  <c r="I170" i="1" s="1"/>
  <c r="K170" i="1" s="1"/>
  <c r="I85" i="1"/>
  <c r="K85" i="1" s="1"/>
  <c r="J97" i="1"/>
  <c r="H97" i="1"/>
  <c r="G97" i="1"/>
  <c r="K90" i="1"/>
  <c r="I161" i="1"/>
  <c r="I25" i="3" l="1"/>
  <c r="H102" i="1"/>
  <c r="J102" i="1"/>
  <c r="H120" i="1"/>
  <c r="H127" i="1" s="1"/>
  <c r="G102" i="1"/>
  <c r="K154" i="1"/>
  <c r="L120" i="1"/>
  <c r="L127" i="1" s="1"/>
  <c r="J120" i="1"/>
  <c r="J127" i="1" s="1"/>
  <c r="G120" i="1"/>
  <c r="G127" i="1" s="1"/>
  <c r="L154" i="1"/>
  <c r="L178" i="1"/>
  <c r="M169" i="1"/>
  <c r="L177" i="1"/>
  <c r="M170" i="1"/>
  <c r="M161" i="1"/>
  <c r="K161" i="1"/>
  <c r="G178" i="1"/>
  <c r="H178" i="1"/>
  <c r="G177" i="1"/>
  <c r="H177" i="1"/>
  <c r="I171" i="1"/>
  <c r="J177" i="1"/>
  <c r="J178" i="1"/>
  <c r="M126" i="1"/>
  <c r="K101" i="1"/>
  <c r="M154" i="1"/>
  <c r="K143" i="1"/>
  <c r="M143" i="1"/>
  <c r="K142" i="1"/>
  <c r="M142" i="1"/>
  <c r="I119" i="1"/>
  <c r="M117" i="1"/>
  <c r="I132" i="1"/>
  <c r="K132" i="1" s="1"/>
  <c r="M129" i="1"/>
  <c r="K129" i="1"/>
  <c r="I94" i="1"/>
  <c r="K94" i="1" s="1"/>
  <c r="K86" i="1"/>
  <c r="M86" i="1"/>
  <c r="M85" i="1"/>
  <c r="I141" i="1"/>
  <c r="K141" i="1" s="1"/>
  <c r="I111" i="1"/>
  <c r="K109" i="1"/>
  <c r="M9" i="1"/>
  <c r="K9" i="1"/>
  <c r="I115" i="1"/>
  <c r="I162" i="1" s="1"/>
  <c r="K162" i="1" s="1"/>
  <c r="K114" i="1"/>
  <c r="M114" i="1"/>
  <c r="L87" i="1"/>
  <c r="I144" i="1"/>
  <c r="I87" i="1"/>
  <c r="I52" i="1"/>
  <c r="L47" i="1"/>
  <c r="I76" i="1"/>
  <c r="L72" i="1"/>
  <c r="L176" i="1" s="1"/>
  <c r="J72" i="1"/>
  <c r="J176" i="1" s="1"/>
  <c r="H72" i="1"/>
  <c r="H176" i="1" s="1"/>
  <c r="G72" i="1"/>
  <c r="G176" i="1" s="1"/>
  <c r="I71" i="1"/>
  <c r="I69" i="1"/>
  <c r="I68" i="1"/>
  <c r="L66" i="1"/>
  <c r="J66" i="1"/>
  <c r="H66" i="1"/>
  <c r="G66" i="1"/>
  <c r="I64" i="1"/>
  <c r="I63" i="1"/>
  <c r="L62" i="1"/>
  <c r="J62" i="1"/>
  <c r="H62" i="1"/>
  <c r="G62" i="1"/>
  <c r="I60" i="1"/>
  <c r="L58" i="1"/>
  <c r="J58" i="1"/>
  <c r="H58" i="1"/>
  <c r="G58" i="1"/>
  <c r="I57" i="1"/>
  <c r="I56" i="1"/>
  <c r="J54" i="1"/>
  <c r="H54" i="1"/>
  <c r="G54" i="1"/>
  <c r="I53" i="1"/>
  <c r="J47" i="1"/>
  <c r="H47" i="1"/>
  <c r="G47" i="1"/>
  <c r="L39" i="1"/>
  <c r="J39" i="1"/>
  <c r="J43" i="1" s="1"/>
  <c r="H39" i="1"/>
  <c r="H43" i="1" s="1"/>
  <c r="G39" i="1"/>
  <c r="G43" i="1" s="1"/>
  <c r="I38" i="1"/>
  <c r="I37" i="1"/>
  <c r="J34" i="1"/>
  <c r="H34" i="1"/>
  <c r="G34" i="1"/>
  <c r="K32" i="1"/>
  <c r="L26" i="1"/>
  <c r="J26" i="1"/>
  <c r="H26" i="1"/>
  <c r="G26" i="1"/>
  <c r="I26" i="1"/>
  <c r="L22" i="1"/>
  <c r="L167" i="1" s="1"/>
  <c r="J22" i="1"/>
  <c r="J167" i="1" s="1"/>
  <c r="H22" i="1"/>
  <c r="H167" i="1" s="1"/>
  <c r="G22" i="1"/>
  <c r="G167" i="1" s="1"/>
  <c r="I21" i="1"/>
  <c r="I18" i="1"/>
  <c r="I164" i="1" s="1"/>
  <c r="K164" i="1" s="1"/>
  <c r="L17" i="1"/>
  <c r="L163" i="1" s="1"/>
  <c r="J17" i="1"/>
  <c r="J163" i="1" s="1"/>
  <c r="H17" i="1"/>
  <c r="H163" i="1" s="1"/>
  <c r="G17" i="1"/>
  <c r="G163" i="1" s="1"/>
  <c r="M15" i="1"/>
  <c r="I14" i="1"/>
  <c r="M14" i="1" s="1"/>
  <c r="I12" i="1"/>
  <c r="M12" i="1" s="1"/>
  <c r="I11" i="1"/>
  <c r="M11" i="1" s="1"/>
  <c r="L8" i="1"/>
  <c r="J8" i="1"/>
  <c r="H8" i="1"/>
  <c r="G8" i="1"/>
  <c r="K6" i="1"/>
  <c r="I72" i="3" l="1"/>
  <c r="I143" i="3"/>
  <c r="I122" i="3"/>
  <c r="G19" i="1"/>
  <c r="G23" i="1" s="1"/>
  <c r="H173" i="1"/>
  <c r="J173" i="1"/>
  <c r="G173" i="1"/>
  <c r="J19" i="1"/>
  <c r="J23" i="1" s="1"/>
  <c r="H19" i="1"/>
  <c r="H23" i="1" s="1"/>
  <c r="K111" i="1"/>
  <c r="I120" i="1"/>
  <c r="I127" i="1" s="1"/>
  <c r="H133" i="1"/>
  <c r="H145" i="1" s="1"/>
  <c r="G133" i="1"/>
  <c r="G145" i="1" s="1"/>
  <c r="J133" i="1"/>
  <c r="J145" i="1" s="1"/>
  <c r="H160" i="1"/>
  <c r="H165" i="1" s="1"/>
  <c r="H168" i="1" s="1"/>
  <c r="H172" i="1" s="1"/>
  <c r="J160" i="1"/>
  <c r="J165" i="1" s="1"/>
  <c r="J168" i="1" s="1"/>
  <c r="J172" i="1" s="1"/>
  <c r="L160" i="1"/>
  <c r="G160" i="1"/>
  <c r="G165" i="1" s="1"/>
  <c r="G168" i="1" s="1"/>
  <c r="G172" i="1" s="1"/>
  <c r="K171" i="1"/>
  <c r="M171" i="1"/>
  <c r="M141" i="1"/>
  <c r="M68" i="1"/>
  <c r="K68" i="1"/>
  <c r="M162" i="1"/>
  <c r="K144" i="1"/>
  <c r="I178" i="1"/>
  <c r="K115" i="1"/>
  <c r="K18" i="1"/>
  <c r="M119" i="1"/>
  <c r="M87" i="1"/>
  <c r="I97" i="1"/>
  <c r="K97" i="1" s="1"/>
  <c r="M111" i="1"/>
  <c r="M144" i="1"/>
  <c r="K13" i="1"/>
  <c r="M13" i="1"/>
  <c r="M21" i="1"/>
  <c r="K21" i="1"/>
  <c r="K38" i="1"/>
  <c r="M38" i="1"/>
  <c r="M56" i="1"/>
  <c r="K56" i="1"/>
  <c r="M63" i="1"/>
  <c r="K63" i="1"/>
  <c r="K71" i="1"/>
  <c r="M71" i="1"/>
  <c r="L18" i="1"/>
  <c r="L164" i="1" s="1"/>
  <c r="M26" i="1"/>
  <c r="K40" i="1"/>
  <c r="M40" i="1"/>
  <c r="K57" i="1"/>
  <c r="M57" i="1"/>
  <c r="M64" i="1"/>
  <c r="K64" i="1"/>
  <c r="I88" i="1"/>
  <c r="K87" i="1"/>
  <c r="M115" i="1"/>
  <c r="M132" i="1"/>
  <c r="L31" i="1"/>
  <c r="M31" i="1" s="1"/>
  <c r="K31" i="1"/>
  <c r="K41" i="1"/>
  <c r="M41" i="1"/>
  <c r="M60" i="1"/>
  <c r="K60" i="1"/>
  <c r="K37" i="1"/>
  <c r="M37" i="1"/>
  <c r="I47" i="1"/>
  <c r="K47" i="1" s="1"/>
  <c r="M46" i="1"/>
  <c r="K46" i="1"/>
  <c r="K53" i="1"/>
  <c r="M53" i="1"/>
  <c r="M55" i="1"/>
  <c r="K55" i="1"/>
  <c r="M61" i="1"/>
  <c r="K61" i="1"/>
  <c r="M69" i="1"/>
  <c r="K69" i="1"/>
  <c r="M52" i="1"/>
  <c r="K52" i="1"/>
  <c r="L43" i="1"/>
  <c r="K26" i="1"/>
  <c r="L67" i="1"/>
  <c r="L175" i="1" s="1"/>
  <c r="I8" i="1"/>
  <c r="I62" i="1"/>
  <c r="K62" i="1" s="1"/>
  <c r="I34" i="1"/>
  <c r="I58" i="1"/>
  <c r="K58" i="1" s="1"/>
  <c r="I72" i="1"/>
  <c r="I22" i="1"/>
  <c r="I167" i="1" s="1"/>
  <c r="K167" i="1" s="1"/>
  <c r="I39" i="1"/>
  <c r="I66" i="1"/>
  <c r="K66" i="1" s="1"/>
  <c r="I54" i="1"/>
  <c r="H67" i="1"/>
  <c r="H175" i="1" s="1"/>
  <c r="G67" i="1"/>
  <c r="G175" i="1" s="1"/>
  <c r="J67" i="1"/>
  <c r="J175" i="1" s="1"/>
  <c r="G49" i="1"/>
  <c r="G174" i="1" s="1"/>
  <c r="J49" i="1"/>
  <c r="J174" i="1" s="1"/>
  <c r="H49" i="1"/>
  <c r="H174" i="1" s="1"/>
  <c r="I17" i="1"/>
  <c r="K17" i="1" s="1"/>
  <c r="I156" i="3" l="1"/>
  <c r="I134" i="3"/>
  <c r="H73" i="1"/>
  <c r="J73" i="1"/>
  <c r="J74" i="1" s="1"/>
  <c r="G73" i="1"/>
  <c r="K88" i="1"/>
  <c r="I102" i="1"/>
  <c r="I19" i="1"/>
  <c r="I23" i="1" s="1"/>
  <c r="L19" i="1"/>
  <c r="L23" i="1" s="1"/>
  <c r="M120" i="1"/>
  <c r="K8" i="1"/>
  <c r="H27" i="1"/>
  <c r="G27" i="1"/>
  <c r="M167" i="1"/>
  <c r="G179" i="1"/>
  <c r="G180" i="1" s="1"/>
  <c r="L165" i="1"/>
  <c r="M164" i="1"/>
  <c r="J179" i="1"/>
  <c r="J180" i="1" s="1"/>
  <c r="H179" i="1"/>
  <c r="H180" i="1" s="1"/>
  <c r="K34" i="1"/>
  <c r="I173" i="1"/>
  <c r="K173" i="1" s="1"/>
  <c r="I163" i="1"/>
  <c r="K72" i="1"/>
  <c r="I176" i="1"/>
  <c r="K176" i="1" s="1"/>
  <c r="I160" i="1"/>
  <c r="I177" i="1"/>
  <c r="M18" i="1"/>
  <c r="K22" i="1"/>
  <c r="M97" i="1"/>
  <c r="K120" i="1"/>
  <c r="L83" i="1"/>
  <c r="M83" i="1" s="1"/>
  <c r="M62" i="1"/>
  <c r="K54" i="1"/>
  <c r="M54" i="1"/>
  <c r="M8" i="1"/>
  <c r="I43" i="1"/>
  <c r="K39" i="1"/>
  <c r="M58" i="1"/>
  <c r="M72" i="1"/>
  <c r="M39" i="1"/>
  <c r="M47" i="1"/>
  <c r="M66" i="1"/>
  <c r="M22" i="1"/>
  <c r="L49" i="1"/>
  <c r="L174" i="1" s="1"/>
  <c r="M17" i="1"/>
  <c r="J27" i="1"/>
  <c r="L32" i="1"/>
  <c r="I67" i="1"/>
  <c r="I164" i="3" l="1"/>
  <c r="G75" i="1"/>
  <c r="H75" i="1"/>
  <c r="I133" i="1"/>
  <c r="K133" i="1" s="1"/>
  <c r="K127" i="1"/>
  <c r="L168" i="1"/>
  <c r="I165" i="1"/>
  <c r="K160" i="1"/>
  <c r="M160" i="1"/>
  <c r="K163" i="1"/>
  <c r="M163" i="1"/>
  <c r="M67" i="1"/>
  <c r="I175" i="1"/>
  <c r="M175" i="1" s="1"/>
  <c r="M127" i="1"/>
  <c r="M19" i="1"/>
  <c r="K102" i="1"/>
  <c r="L88" i="1"/>
  <c r="I49" i="1"/>
  <c r="I73" i="1" s="1"/>
  <c r="K43" i="1"/>
  <c r="M43" i="1"/>
  <c r="L34" i="1"/>
  <c r="L73" i="1" s="1"/>
  <c r="M32" i="1"/>
  <c r="K67" i="1"/>
  <c r="M23" i="1"/>
  <c r="K19" i="1"/>
  <c r="J75" i="1"/>
  <c r="M88" i="1" l="1"/>
  <c r="L102" i="1"/>
  <c r="M102" i="1" s="1"/>
  <c r="I145" i="1"/>
  <c r="L107" i="1" s="1"/>
  <c r="L133" i="1" s="1"/>
  <c r="L145" i="1" s="1"/>
  <c r="I168" i="1"/>
  <c r="M168" i="1" s="1"/>
  <c r="K165" i="1"/>
  <c r="M165" i="1"/>
  <c r="K49" i="1"/>
  <c r="I174" i="1"/>
  <c r="M34" i="1"/>
  <c r="L173" i="1"/>
  <c r="I74" i="1"/>
  <c r="K74" i="1" s="1"/>
  <c r="L74" i="1"/>
  <c r="M49" i="1"/>
  <c r="J77" i="1"/>
  <c r="I27" i="1"/>
  <c r="K23" i="1"/>
  <c r="K145" i="1" l="1"/>
  <c r="M107" i="1"/>
  <c r="L179" i="1"/>
  <c r="M173" i="1"/>
  <c r="I179" i="1"/>
  <c r="K174" i="1"/>
  <c r="M174" i="1"/>
  <c r="I172" i="1"/>
  <c r="K172" i="1" s="1"/>
  <c r="K168" i="1"/>
  <c r="M73" i="1"/>
  <c r="K73" i="1"/>
  <c r="M74" i="1"/>
  <c r="M145" i="1"/>
  <c r="M133" i="1"/>
  <c r="K27" i="1"/>
  <c r="I75" i="1"/>
  <c r="K75" i="1" s="1"/>
  <c r="I180" i="1" l="1"/>
  <c r="K180" i="1" s="1"/>
  <c r="K179" i="1"/>
  <c r="M179" i="1"/>
  <c r="I77" i="1"/>
  <c r="L4" i="1"/>
  <c r="L159" i="1" s="1"/>
  <c r="L172" i="1" s="1"/>
  <c r="L180" i="1" s="1"/>
  <c r="M180" i="1" l="1"/>
  <c r="M172" i="1"/>
  <c r="M159" i="1"/>
  <c r="L27" i="1"/>
  <c r="M27" i="1" s="1"/>
  <c r="M4" i="1"/>
  <c r="L75" i="1" l="1"/>
  <c r="M75" i="1" s="1"/>
  <c r="K175" i="1" l="1"/>
  <c r="M177" i="1" l="1"/>
  <c r="K177" i="1"/>
  <c r="K178" i="1"/>
  <c r="M176" i="1" l="1"/>
  <c r="M17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Todd Currie</author>
  </authors>
  <commentList>
    <comment ref="I24" authorId="0" shapeId="0" xr:uid="{12F3728D-5362-44D8-B98B-681A8B0FF863}">
      <text>
        <r>
          <rPr>
            <b/>
            <sz val="10"/>
            <color indexed="81"/>
            <rFont val="Tahoma"/>
            <family val="2"/>
          </rPr>
          <t>Todd Currie:</t>
        </r>
        <r>
          <rPr>
            <sz val="10"/>
            <color indexed="81"/>
            <rFont val="Tahoma"/>
            <family val="2"/>
          </rPr>
          <t xml:space="preserve">
Includes #10k to payoff SBA </t>
        </r>
      </text>
    </comment>
    <comment ref="I130" authorId="0" shapeId="0" xr:uid="{DDB6ADEF-3C37-4F7E-8DCB-FFAFC749146F}">
      <text>
        <r>
          <rPr>
            <b/>
            <sz val="10"/>
            <color indexed="81"/>
            <rFont val="Tahoma"/>
            <family val="2"/>
          </rPr>
          <t>Todd Currie:</t>
        </r>
        <r>
          <rPr>
            <sz val="10"/>
            <color indexed="81"/>
            <rFont val="Tahoma"/>
            <family val="2"/>
          </rPr>
          <t xml:space="preserve">
Includes $10k transfer if Ops ends year with sufficient "surplus"</t>
        </r>
      </text>
    </comment>
    <comment ref="I151" authorId="0" shapeId="0" xr:uid="{EC0BA585-201F-441B-82EB-4C7E1BDEFD97}">
      <text>
        <r>
          <rPr>
            <b/>
            <sz val="10"/>
            <color indexed="81"/>
            <rFont val="Tahoma"/>
            <family val="2"/>
          </rPr>
          <t>Todd Currie:</t>
        </r>
        <r>
          <rPr>
            <sz val="10"/>
            <color indexed="81"/>
            <rFont val="Tahoma"/>
            <family val="2"/>
          </rPr>
          <t xml:space="preserve">
Includes $10k transfer if Ops ends year with sufficient "surplus"</t>
        </r>
      </text>
    </comment>
  </commentList>
</comments>
</file>

<file path=xl/sharedStrings.xml><?xml version="1.0" encoding="utf-8"?>
<sst xmlns="http://schemas.openxmlformats.org/spreadsheetml/2006/main" count="410" uniqueCount="194">
  <si>
    <t>OPERATIONS</t>
  </si>
  <si>
    <t>SYSTEM REPLACEMENTS</t>
  </si>
  <si>
    <t>2021/2022</t>
  </si>
  <si>
    <t>2022/2023</t>
  </si>
  <si>
    <t>Beginning Fund Balance</t>
  </si>
  <si>
    <t>Base Charges</t>
  </si>
  <si>
    <t>M/C Water Residential Regular</t>
  </si>
  <si>
    <t>M/C Water Commercial Regular</t>
  </si>
  <si>
    <t>Total Base Charges</t>
  </si>
  <si>
    <t>Usage Charges</t>
  </si>
  <si>
    <t>Capital Charges</t>
  </si>
  <si>
    <t>M/C Capital Commercial Regular</t>
  </si>
  <si>
    <t>M/C Capital Residential Regular</t>
  </si>
  <si>
    <t>Total Capital Charges</t>
  </si>
  <si>
    <t>Billing Adjustments</t>
  </si>
  <si>
    <t>M/A Usage Credit</t>
  </si>
  <si>
    <t>M/A Late Fee Credit</t>
  </si>
  <si>
    <t>M/A Good Neighbor Fund</t>
  </si>
  <si>
    <t>M/A Other Credit</t>
  </si>
  <si>
    <t>M/P Residential Regular</t>
  </si>
  <si>
    <t>M/P Commercial Regular</t>
  </si>
  <si>
    <t>Adjustments &amp; Penalties</t>
  </si>
  <si>
    <t>State Utility Excise Tax</t>
  </si>
  <si>
    <t>Total Monthly Billings</t>
  </si>
  <si>
    <t>Membership &amp; Hookup Fees</t>
  </si>
  <si>
    <t>Membership Fee</t>
  </si>
  <si>
    <t>Hook-up Inspection Fees</t>
  </si>
  <si>
    <t>Hook-up Reimbursements</t>
  </si>
  <si>
    <t>Membership &amp; Hookup Fees - Other</t>
  </si>
  <si>
    <t>Total Membership &amp; Hookups</t>
  </si>
  <si>
    <t>Miscellaneous income</t>
  </si>
  <si>
    <t>Direct Water Sale, not metered</t>
  </si>
  <si>
    <t>Sale of Chlorine</t>
  </si>
  <si>
    <t>Total Miscellaneous income</t>
  </si>
  <si>
    <t>Total Billed Sources</t>
  </si>
  <si>
    <t>Other Sources &amp; Uses</t>
  </si>
  <si>
    <t>Interest Income</t>
  </si>
  <si>
    <t>Interfund Transfer Out/In (-/+)</t>
  </si>
  <si>
    <t>Loan Receipts</t>
  </si>
  <si>
    <t>Total Other Sources &amp; Uses</t>
  </si>
  <si>
    <t>Total Available Funds</t>
  </si>
  <si>
    <t>Use of Funds</t>
  </si>
  <si>
    <t>Staffing and Contract Svcs</t>
  </si>
  <si>
    <t>Staff Development</t>
  </si>
  <si>
    <t>Admin Payroll</t>
  </si>
  <si>
    <t>Admin Payroll Taxes</t>
  </si>
  <si>
    <t>Contracted Service</t>
  </si>
  <si>
    <t>Total Staffing and Contract Svcs</t>
  </si>
  <si>
    <t>Business Operations</t>
  </si>
  <si>
    <t>Office Costs</t>
  </si>
  <si>
    <t>Hardware, Software &amp; Services</t>
  </si>
  <si>
    <t>Phone &amp; Internet</t>
  </si>
  <si>
    <t>Total Comms &amp; IT</t>
  </si>
  <si>
    <t>Office Supplies and Services</t>
  </si>
  <si>
    <t>Postage (incl. Meter Rental)</t>
  </si>
  <si>
    <t>Misc Expenses</t>
  </si>
  <si>
    <t>Total Office Costs</t>
  </si>
  <si>
    <t>Legal Services</t>
  </si>
  <si>
    <t>Accounting Services</t>
  </si>
  <si>
    <t>Bank Service Charges</t>
  </si>
  <si>
    <t>Total Outside Services</t>
  </si>
  <si>
    <t>Insurance</t>
  </si>
  <si>
    <t>Total Business Operations</t>
  </si>
  <si>
    <t>System Operations</t>
  </si>
  <si>
    <t>General Engineering</t>
  </si>
  <si>
    <t>Water Treatment Chemicals</t>
  </si>
  <si>
    <t>Water Quality Testing</t>
  </si>
  <si>
    <t>Total Treatment &amp; Testing</t>
  </si>
  <si>
    <t>Electricity</t>
  </si>
  <si>
    <t>Propane - Diesel</t>
  </si>
  <si>
    <t>Wireless Service</t>
  </si>
  <si>
    <t>Total Utlities</t>
  </si>
  <si>
    <t>Water System Maintenance</t>
  </si>
  <si>
    <t>Building &amp; Grounds Maintenance</t>
  </si>
  <si>
    <t>Unscheduled Repair/Maint</t>
  </si>
  <si>
    <t>Total Maintenance Expenses</t>
  </si>
  <si>
    <t>Small Tools and Minor Equipment</t>
  </si>
  <si>
    <t>Shop Supplies</t>
  </si>
  <si>
    <t>Fuel &amp; Ops Mileage</t>
  </si>
  <si>
    <t>Total Supplies, Parts &amp; Fuel</t>
  </si>
  <si>
    <t>Total System Operations</t>
  </si>
  <si>
    <t>Taxes and Fees</t>
  </si>
  <si>
    <t>Property Taxes and Filing Fees</t>
  </si>
  <si>
    <t>State Public Utility Tax</t>
  </si>
  <si>
    <t>County Right-of-Way Use Tax</t>
  </si>
  <si>
    <t>Licenses &amp; Fees</t>
  </si>
  <si>
    <t>Total Taxes and Fees</t>
  </si>
  <si>
    <t>Service Connections</t>
  </si>
  <si>
    <t>DWA Building</t>
  </si>
  <si>
    <t>Dockton Springs</t>
  </si>
  <si>
    <t>Sandy Shores PRV Replacement</t>
  </si>
  <si>
    <t>94th to Pt Piner</t>
  </si>
  <si>
    <t>Sandy Shores Filtration Plant</t>
  </si>
  <si>
    <t>Unscheduled Capital Costs</t>
  </si>
  <si>
    <t>Total Projects</t>
  </si>
  <si>
    <t>Debt Servicing</t>
  </si>
  <si>
    <t>Interest Expense</t>
  </si>
  <si>
    <t>Loan Principal Payment</t>
  </si>
  <si>
    <t>Total Debt Servicing</t>
  </si>
  <si>
    <t>Total Use of Funds</t>
  </si>
  <si>
    <t>ENDING FUND BALANCE</t>
  </si>
  <si>
    <t>23/24 Bdgt</t>
  </si>
  <si>
    <t>24/25 Bdgt</t>
  </si>
  <si>
    <t>"Italics" are rough estimate as of Feb 2024</t>
  </si>
  <si>
    <t>23/24 Actl*</t>
  </si>
  <si>
    <t>We don't budget Service Connections</t>
  </si>
  <si>
    <t>This is bumped $25k from SWSMP.  Will all this occur in 24/25 fiscal year?</t>
  </si>
  <si>
    <t>CAPITAL IMPROVEMENTS</t>
  </si>
  <si>
    <t>Projects</t>
  </si>
  <si>
    <t>1st of 4 years</t>
  </si>
  <si>
    <t>Silos</t>
  </si>
  <si>
    <t>Var</t>
  </si>
  <si>
    <t>Adjustments &amp; Penalties (&amp; GNF)</t>
  </si>
  <si>
    <t>CHECK ACTL TO DATE?</t>
  </si>
  <si>
    <t>Forecast to make excess payments to capital funds this year</t>
  </si>
  <si>
    <t>CONTINGENCY FUND</t>
  </si>
  <si>
    <t>Membership &amp; Hookups</t>
  </si>
  <si>
    <t xml:space="preserve"> </t>
  </si>
  <si>
    <t>$40/month -- $1&gt;than 6-year plan</t>
  </si>
  <si>
    <t>.03/cf -- keeping unchanged</t>
  </si>
  <si>
    <t>penalties and GNF almost offset water loss credits and GNF subsidy</t>
  </si>
  <si>
    <t>Still "trying" to transfer out $60k this year.  TBD.</t>
  </si>
  <si>
    <t>Placeholder until final salaries set. TBD</t>
  </si>
  <si>
    <t>Postage savings depends on online payment adoption rate</t>
  </si>
  <si>
    <t>placeholder value</t>
  </si>
  <si>
    <t>includes CPA consulting for Bal Sheet clean-up</t>
  </si>
  <si>
    <t>We are pushing to get this premium cost reduced.  TBD</t>
  </si>
  <si>
    <t>this may be tight, as we keep Sandy Shores well pumping…</t>
  </si>
  <si>
    <t>not reducing this as we keep SS well pumping</t>
  </si>
  <si>
    <t>anticipate rebuild of one PRV</t>
  </si>
  <si>
    <t>Fuel reduction… bye bye truck…</t>
  </si>
  <si>
    <t>placeholder, franchise fee and any credits remain unknown</t>
  </si>
  <si>
    <t>return to the historical "minimus" transfer of $50k</t>
  </si>
  <si>
    <t>counting on loan from state for SS PRV</t>
  </si>
  <si>
    <t>we are still not paying interest or principle for pre-construction loan</t>
  </si>
  <si>
    <t>We're reaching $1000/month interest income!</t>
  </si>
  <si>
    <t>Possibility to make "unscheduled" $10k transfer to this fund.  TBD</t>
  </si>
  <si>
    <t>Significance of state loan for SS PRV</t>
  </si>
  <si>
    <t>No longer budget for this.  Anything significant would draw on Contingency Fund.</t>
  </si>
  <si>
    <t>Ideally, we could build Interest Income to cover our loan interest…</t>
  </si>
  <si>
    <t>Final payment on the bulk of this debt is next year, 2025.</t>
  </si>
  <si>
    <t>Ideally, we transfer in $10k this year and payoff SBA Covid loan</t>
  </si>
  <si>
    <t>This increase reflects placeholder for future KingCo franchise fee…</t>
  </si>
  <si>
    <t>Billing system cost and insurance.  Working to reduce both.</t>
  </si>
  <si>
    <t>reflects approx. bill increase for shareholders</t>
  </si>
  <si>
    <t>This fund dives negative, primarily due to new meter initiative</t>
  </si>
  <si>
    <t>DOCKTON WATER ASSOCIATION</t>
  </si>
  <si>
    <t>Proposed Budget - 2024/2025</t>
  </si>
  <si>
    <t>TOTAL BUSINESS SUMMARY</t>
  </si>
  <si>
    <t>1/2 of $40/month</t>
  </si>
  <si>
    <r>
      <t xml:space="preserve">Meter </t>
    </r>
    <r>
      <rPr>
        <u/>
        <sz val="12"/>
        <color rgb="FF000000"/>
        <rFont val="Calibri"/>
        <family val="2"/>
      </rPr>
      <t>Replacement</t>
    </r>
    <r>
      <rPr>
        <sz val="12"/>
        <color rgb="FF000000"/>
        <rFont val="Calibri"/>
        <family val="2"/>
      </rPr>
      <t xml:space="preserve"> Program</t>
    </r>
  </si>
  <si>
    <t>Now based on El Dorado pricing, full year</t>
  </si>
  <si>
    <t>Now no "cloud hosting" fee</t>
  </si>
  <si>
    <t>El Dorado Tablet and pro services</t>
  </si>
  <si>
    <t>Billing System Replacement</t>
  </si>
  <si>
    <t>Now includes El Dorado, not CUSI</t>
  </si>
  <si>
    <t>Meter Upgrade Program</t>
  </si>
  <si>
    <t>&lt;&lt; click 1 - 5 to increase/decrease detail, or click on any  "+" sign</t>
  </si>
  <si>
    <t>2024-2025 Proposed Budget</t>
  </si>
  <si>
    <t>2023-2024 Budget</t>
  </si>
  <si>
    <t>2023-2024 Forecast Actuals</t>
  </si>
  <si>
    <t>Transfers to Capital and Contingency Funds</t>
  </si>
  <si>
    <t>Total Sources</t>
  </si>
  <si>
    <t>Meter Replacement Program</t>
  </si>
  <si>
    <t>94th to Pt Piner   (initial engineering)</t>
  </si>
  <si>
    <t>Transfer from Operations Fund</t>
  </si>
  <si>
    <t>New Membership Fees &amp; Hookups Charges</t>
  </si>
  <si>
    <t>Transfer from Operations</t>
  </si>
  <si>
    <t>Ending SYSTEMS REPLACEMENTS Fund Balance</t>
  </si>
  <si>
    <t>Beg. SYSTEMS REPLACEMENTS Fund Balance</t>
  </si>
  <si>
    <t>Beg. CAPITAL IMPROVEMENTS Fund Balance</t>
  </si>
  <si>
    <t>Ending CAPITAL IMPROVEMENTS Fund Balance</t>
  </si>
  <si>
    <t>Beginning CONTINGENCY Fund Balance</t>
  </si>
  <si>
    <t>Ending CONTINGENCY Fund Balance</t>
  </si>
  <si>
    <t>Beginning Balance - ALL FUNDS</t>
  </si>
  <si>
    <t>Ending Balance - ALL FUNDS</t>
  </si>
  <si>
    <t>Beginning OPERATIONS Fund Balance</t>
  </si>
  <si>
    <t>Billed Sources</t>
  </si>
  <si>
    <t>Other Sources</t>
  </si>
  <si>
    <t>Adjustments, Penalties &amp; Good Neighbor Fund</t>
  </si>
  <si>
    <t>Ending OPERATIONS Fund Balance</t>
  </si>
  <si>
    <r>
      <t xml:space="preserve">Total Available Funds </t>
    </r>
    <r>
      <rPr>
        <i/>
        <sz val="11"/>
        <color rgb="FF000000"/>
        <rFont val="Calibri"/>
        <family val="2"/>
      </rPr>
      <t>(Beg. Balance plus Income)</t>
    </r>
  </si>
  <si>
    <r>
      <t>Base Charges</t>
    </r>
    <r>
      <rPr>
        <i/>
        <sz val="11"/>
        <color rgb="FF000000"/>
        <rFont val="Calibri"/>
        <family val="2"/>
      </rPr>
      <t xml:space="preserve"> (paid by Reserve Shares)</t>
    </r>
  </si>
  <si>
    <r>
      <t xml:space="preserve">SUMMARY </t>
    </r>
    <r>
      <rPr>
        <b/>
        <i/>
        <sz val="11"/>
        <color theme="0"/>
        <rFont val="Calibri"/>
        <family val="2"/>
      </rPr>
      <t>(Entire Business)</t>
    </r>
  </si>
  <si>
    <t>Lower Sandy Shores New Main</t>
  </si>
  <si>
    <t>Dockton Water Association            Fund Flows</t>
  </si>
  <si>
    <t>Staffing</t>
  </si>
  <si>
    <t>$22/month</t>
  </si>
  <si>
    <r>
      <rPr>
        <b/>
        <sz val="13"/>
        <color theme="1"/>
        <rFont val="Calibri"/>
        <family val="2"/>
      </rPr>
      <t xml:space="preserve">NOTES re: Proposed Budget:  </t>
    </r>
    <r>
      <rPr>
        <sz val="13"/>
        <color theme="1"/>
        <rFont val="Calibri"/>
        <family val="2"/>
      </rPr>
      <t xml:space="preserve">We manage our finances by tracking income and expenses through 4 funds.  </t>
    </r>
  </si>
  <si>
    <r>
      <t xml:space="preserve">The </t>
    </r>
    <r>
      <rPr>
        <b/>
        <sz val="13"/>
        <color theme="1"/>
        <rFont val="Calibri"/>
        <family val="2"/>
      </rPr>
      <t>Operations Fund</t>
    </r>
    <r>
      <rPr>
        <sz val="13"/>
        <color theme="1"/>
        <rFont val="Calibri"/>
        <family val="2"/>
      </rPr>
      <t xml:space="preserve"> tracks income and costs of day-to-day operations of Dockton Water.  Income for Operations comes from monthly Base Rate and Water Usage charges. Costs are to run the business, operate the water system and make an annual transfer towards our capital reserves.   Upward pressure on costs continues, including: cost-of-living-adjustments for staff, skyrocketing insurance premiums and inflationary increases across the board.  Dave maintains tight cost management and this budget is as lean as we can make it. Due to inflation, unfortunately, our budget requires us to raise Base Rate to $40, starting in July.  The Usage rate can remain at $.03/cubic ft for another year.</t>
    </r>
  </si>
  <si>
    <r>
      <t xml:space="preserve">The </t>
    </r>
    <r>
      <rPr>
        <b/>
        <sz val="13"/>
        <color theme="1"/>
        <rFont val="Calibri"/>
        <family val="2"/>
      </rPr>
      <t>Systems Replacements</t>
    </r>
    <r>
      <rPr>
        <sz val="13"/>
        <color theme="1"/>
        <rFont val="Calibri"/>
        <family val="2"/>
      </rPr>
      <t xml:space="preserve"> </t>
    </r>
    <r>
      <rPr>
        <b/>
        <sz val="13"/>
        <color theme="1"/>
        <rFont val="Calibri"/>
        <family val="2"/>
      </rPr>
      <t>Fund</t>
    </r>
    <r>
      <rPr>
        <sz val="13"/>
        <color theme="1"/>
        <rFont val="Calibri"/>
        <family val="2"/>
      </rPr>
      <t xml:space="preserve"> reserves capital to replace the aging components of our significant infrastructure.  Money flows into this fund via transfers from Operations and from loans.  This current year we are tapping a loan facility from the State of Washington to pay pre-construction engineering costs for the replacement of the PRV (pressure release valve) in Lower Sandy Shores.  In the coming year we've budgeted the actual construction costs to replace the PRV (financed with a new state loan) and costs for work on the water silos and to begin engineering for the replacement of the main connecting to Pt Piner and Summerhurst.</t>
    </r>
  </si>
  <si>
    <r>
      <t xml:space="preserve">The </t>
    </r>
    <r>
      <rPr>
        <b/>
        <sz val="13"/>
        <color theme="1"/>
        <rFont val="Calibri"/>
        <family val="2"/>
      </rPr>
      <t xml:space="preserve">Capital Improvements Fund </t>
    </r>
    <r>
      <rPr>
        <sz val="13"/>
        <color theme="1"/>
        <rFont val="Calibri"/>
        <family val="2"/>
      </rPr>
      <t>reserves capital to increase capacity, modernize and expand our water system.  Money flows into this fund via the monthly Capital Charge, 50% of reserve shareholders' Base Rate, loans and sales of shares. This current year we are covering the pre-construction costs for three new wells at Dockton Springs.  For next year we will use reserves to complete construction of these new wells and begin a 4-year cycle of upgrading all water meters.  Additionally, we are budgeting loan receipts to cover the costs for the new main in Lower Sandy Shores that we are building in conjunction with the PRV replacement. One callout is that we anticipate the Interest Income (from our reserves in a high-yield savings account at Kitsap Bank) to nearly cover the Interest Expense we pay on past loans.  For this fund to cover costs of projects, service debt and build-up reserves for future projects we are increasing the monthly Capital Charge to $22, effective July 1, 2024.</t>
    </r>
  </si>
  <si>
    <r>
      <t xml:space="preserve">The </t>
    </r>
    <r>
      <rPr>
        <b/>
        <sz val="13"/>
        <color theme="1"/>
        <rFont val="Calibri"/>
        <family val="2"/>
      </rPr>
      <t xml:space="preserve">Contingency Fund </t>
    </r>
    <r>
      <rPr>
        <sz val="13"/>
        <color theme="1"/>
        <rFont val="Calibri"/>
        <family val="2"/>
      </rPr>
      <t>(aka Emergency Fund) is for unanticipated, urgent needs. This year we pay off the SBA "Covid Emergecy" loan which, thankfully, went unused.</t>
    </r>
  </si>
  <si>
    <r>
      <rPr>
        <b/>
        <sz val="13"/>
        <color theme="1"/>
        <rFont val="Calibri"/>
        <family val="2"/>
      </rPr>
      <t>TREASURER'S STATEMENT:</t>
    </r>
    <r>
      <rPr>
        <sz val="13"/>
        <color theme="1"/>
        <rFont val="Calibri"/>
        <family val="2"/>
      </rPr>
      <t xml:space="preserve"> We are keeping up with the inflating costs of operations, engineering and construction as we slowly rebuild our capital reserves for future projects.  We are now qualify for low-interest loans from the State Department of Health.   However, we need to continue raising rates and capital charges to cover the costs of essential "replacement" and "improvement" projects in the coming years.  The Board works earnestly to keep rate increases minimal while also rebuilding capital reserves. Currently, DWA is in strong position to accomplish its goals.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</si>
</sst>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3" x14ac:knownFonts="1">
    <font>
      <sz val="11"/>
      <color theme="1"/>
      <name val="Calibri"/>
      <family val="2"/>
      <scheme val="minor"/>
    </font>
    <font>
      <b/>
      <sz val="10"/>
      <color indexed="81"/>
      <name val="Tahoma"/>
      <family val="2"/>
    </font>
    <font>
      <sz val="10"/>
      <color indexed="81"/>
      <name val="Tahoma"/>
      <family val="2"/>
    </font>
    <font>
      <sz val="11"/>
      <color theme="1"/>
      <name val="Calibri"/>
      <family val="2"/>
      <scheme val="minor"/>
    </font>
    <font>
      <sz val="11"/>
      <color theme="1"/>
      <name val="Calibri"/>
      <family val="2"/>
    </font>
    <font>
      <b/>
      <sz val="12"/>
      <color rgb="FF000000"/>
      <name val="Calibri"/>
      <family val="2"/>
    </font>
    <font>
      <sz val="12"/>
      <color theme="1"/>
      <name val="Calibri"/>
      <family val="2"/>
    </font>
    <font>
      <b/>
      <sz val="12"/>
      <color theme="1"/>
      <name val="Calibri"/>
      <family val="2"/>
    </font>
    <font>
      <b/>
      <i/>
      <sz val="12"/>
      <color rgb="FF000000"/>
      <name val="Calibri"/>
      <family val="2"/>
    </font>
    <font>
      <i/>
      <sz val="12"/>
      <color rgb="FF000000"/>
      <name val="Calibri"/>
      <family val="2"/>
    </font>
    <font>
      <sz val="12"/>
      <color rgb="FF000000"/>
      <name val="Calibri"/>
      <family val="2"/>
    </font>
    <font>
      <i/>
      <sz val="12"/>
      <color theme="1"/>
      <name val="Calibri"/>
      <family val="2"/>
    </font>
    <font>
      <b/>
      <i/>
      <sz val="12"/>
      <color theme="1"/>
      <name val="Calibri"/>
      <family val="2"/>
    </font>
    <font>
      <b/>
      <sz val="11"/>
      <color theme="1"/>
      <name val="Calibri"/>
      <family val="2"/>
    </font>
    <font>
      <sz val="12"/>
      <color rgb="FFFF0000"/>
      <name val="Calibri"/>
      <family val="2"/>
    </font>
    <font>
      <b/>
      <sz val="12"/>
      <color rgb="FFFF0000"/>
      <name val="Calibri"/>
      <family val="2"/>
    </font>
    <font>
      <b/>
      <sz val="12"/>
      <color theme="0"/>
      <name val="Calibri"/>
      <family val="2"/>
    </font>
    <font>
      <u/>
      <sz val="12"/>
      <color rgb="FF000000"/>
      <name val="Calibri"/>
      <family val="2"/>
    </font>
    <font>
      <i/>
      <sz val="12"/>
      <color theme="9"/>
      <name val="Calibri"/>
      <family val="2"/>
    </font>
    <font>
      <i/>
      <sz val="12"/>
      <name val="Calibri"/>
      <family val="2"/>
    </font>
    <font>
      <b/>
      <i/>
      <sz val="12"/>
      <color rgb="FFFF0000"/>
      <name val="Calibri"/>
      <family val="2"/>
    </font>
    <font>
      <sz val="11"/>
      <color rgb="FF000000"/>
      <name val="Calibri"/>
      <family val="2"/>
    </font>
    <font>
      <i/>
      <sz val="11"/>
      <color rgb="FF000000"/>
      <name val="Calibri"/>
      <family val="2"/>
    </font>
    <font>
      <b/>
      <sz val="16"/>
      <name val="Calibri"/>
      <family val="2"/>
    </font>
    <font>
      <b/>
      <sz val="11"/>
      <color rgb="FF000000"/>
      <name val="Calibri"/>
      <family val="2"/>
    </font>
    <font>
      <b/>
      <sz val="11"/>
      <color theme="0"/>
      <name val="Calibri"/>
      <family val="2"/>
    </font>
    <font>
      <sz val="11"/>
      <name val="Calibri"/>
      <family val="2"/>
    </font>
    <font>
      <b/>
      <sz val="11"/>
      <color rgb="FFFF0000"/>
      <name val="Calibri"/>
      <family val="2"/>
    </font>
    <font>
      <sz val="11"/>
      <color rgb="FFFF0000"/>
      <name val="Calibri"/>
      <family val="2"/>
    </font>
    <font>
      <b/>
      <i/>
      <sz val="11"/>
      <color theme="0"/>
      <name val="Calibri"/>
      <family val="2"/>
    </font>
    <font>
      <sz val="13"/>
      <color theme="1"/>
      <name val="Calibri"/>
      <family val="2"/>
    </font>
    <font>
      <b/>
      <sz val="13"/>
      <color theme="1"/>
      <name val="Calibri"/>
      <family val="2"/>
    </font>
    <font>
      <b/>
      <sz val="13"/>
      <color rgb="FF000000"/>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1" tint="0.34998626667073579"/>
        <bgColor indexed="64"/>
      </patternFill>
    </fill>
  </fills>
  <borders count="71">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medium">
        <color indexed="64"/>
      </top>
      <bottom/>
      <diagonal/>
    </border>
    <border>
      <left/>
      <right/>
      <top style="medium">
        <color indexed="64"/>
      </top>
      <bottom style="double">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335">
    <xf numFmtId="0" fontId="0" fillId="0" borderId="0" xfId="0"/>
    <xf numFmtId="0" fontId="5" fillId="0" borderId="0" xfId="0" applyFont="1"/>
    <xf numFmtId="0" fontId="6" fillId="0" borderId="0" xfId="0" applyFont="1"/>
    <xf numFmtId="9" fontId="6" fillId="0" borderId="0" xfId="2" applyFont="1"/>
    <xf numFmtId="0" fontId="4" fillId="0" borderId="0" xfId="0" applyFont="1"/>
    <xf numFmtId="49" fontId="5" fillId="0" borderId="0" xfId="0" applyNumberFormat="1" applyFont="1"/>
    <xf numFmtId="49" fontId="5" fillId="0" borderId="20" xfId="0" applyNumberFormat="1" applyFont="1" applyBorder="1"/>
    <xf numFmtId="49" fontId="5" fillId="0" borderId="17" xfId="0" applyNumberFormat="1" applyFont="1" applyBorder="1"/>
    <xf numFmtId="49" fontId="7" fillId="0" borderId="23" xfId="0" applyNumberFormat="1" applyFont="1" applyBorder="1" applyAlignment="1">
      <alignment horizontal="center"/>
    </xf>
    <xf numFmtId="0" fontId="7" fillId="0" borderId="0" xfId="0" applyFont="1"/>
    <xf numFmtId="49" fontId="5" fillId="0" borderId="0" xfId="0" applyNumberFormat="1" applyFont="1" applyAlignment="1">
      <alignment horizontal="center"/>
    </xf>
    <xf numFmtId="164" fontId="5" fillId="0" borderId="10" xfId="0" quotePrefix="1" applyNumberFormat="1" applyFont="1" applyBorder="1" applyAlignment="1">
      <alignment horizontal="center"/>
    </xf>
    <xf numFmtId="164" fontId="5" fillId="0" borderId="11" xfId="0" quotePrefix="1" applyNumberFormat="1" applyFont="1" applyBorder="1" applyAlignment="1">
      <alignment horizontal="center"/>
    </xf>
    <xf numFmtId="0" fontId="5" fillId="0" borderId="11" xfId="0" applyFont="1" applyBorder="1" applyAlignment="1">
      <alignment horizontal="center"/>
    </xf>
    <xf numFmtId="9" fontId="5" fillId="0" borderId="11" xfId="2" applyFont="1" applyBorder="1" applyAlignment="1">
      <alignment horizontal="center"/>
    </xf>
    <xf numFmtId="0" fontId="5" fillId="0" borderId="10" xfId="0" applyFont="1" applyBorder="1" applyAlignment="1">
      <alignment horizontal="center"/>
    </xf>
    <xf numFmtId="9" fontId="5" fillId="0" borderId="29" xfId="2" applyFont="1" applyBorder="1" applyAlignment="1">
      <alignment horizontal="center"/>
    </xf>
    <xf numFmtId="0" fontId="6" fillId="0" borderId="0" xfId="0" applyFont="1" applyAlignment="1">
      <alignment horizontal="center"/>
    </xf>
    <xf numFmtId="49" fontId="5" fillId="0" borderId="24" xfId="0" applyNumberFormat="1" applyFont="1" applyBorder="1"/>
    <xf numFmtId="164" fontId="6" fillId="0" borderId="3" xfId="0" applyNumberFormat="1" applyFont="1" applyBorder="1"/>
    <xf numFmtId="164" fontId="6" fillId="0" borderId="0" xfId="0" applyNumberFormat="1" applyFont="1"/>
    <xf numFmtId="164" fontId="10" fillId="0" borderId="0" xfId="0" applyNumberFormat="1" applyFont="1"/>
    <xf numFmtId="9" fontId="10" fillId="0" borderId="0" xfId="2" applyFont="1" applyBorder="1"/>
    <xf numFmtId="164" fontId="10" fillId="0" borderId="3" xfId="0" applyNumberFormat="1" applyFont="1" applyBorder="1"/>
    <xf numFmtId="9" fontId="10" fillId="0" borderId="25" xfId="2" applyFont="1" applyBorder="1"/>
    <xf numFmtId="49" fontId="10" fillId="0" borderId="0" xfId="0" applyNumberFormat="1" applyFont="1"/>
    <xf numFmtId="164" fontId="10" fillId="3" borderId="12" xfId="0" applyNumberFormat="1" applyFont="1" applyFill="1" applyBorder="1"/>
    <xf numFmtId="164" fontId="10" fillId="0" borderId="1" xfId="0" applyNumberFormat="1" applyFont="1" applyBorder="1"/>
    <xf numFmtId="164" fontId="10" fillId="0" borderId="2" xfId="0" applyNumberFormat="1" applyFont="1" applyBorder="1"/>
    <xf numFmtId="9" fontId="10" fillId="0" borderId="2" xfId="2" applyFont="1" applyBorder="1"/>
    <xf numFmtId="9" fontId="10" fillId="0" borderId="30" xfId="2" applyFont="1" applyBorder="1"/>
    <xf numFmtId="9" fontId="6" fillId="0" borderId="0" xfId="2" applyFont="1" applyBorder="1"/>
    <xf numFmtId="9" fontId="6" fillId="0" borderId="25" xfId="2" applyFont="1" applyBorder="1"/>
    <xf numFmtId="164" fontId="9" fillId="2" borderId="3" xfId="0" applyNumberFormat="1" applyFont="1" applyFill="1" applyBorder="1"/>
    <xf numFmtId="164" fontId="10" fillId="2" borderId="0" xfId="0" applyNumberFormat="1" applyFont="1" applyFill="1"/>
    <xf numFmtId="49" fontId="5" fillId="0" borderId="27" xfId="0" applyNumberFormat="1" applyFont="1" applyBorder="1"/>
    <xf numFmtId="49" fontId="5" fillId="0" borderId="8" xfId="0" applyNumberFormat="1" applyFont="1" applyBorder="1"/>
    <xf numFmtId="49" fontId="10" fillId="0" borderId="8" xfId="0" applyNumberFormat="1" applyFont="1" applyBorder="1"/>
    <xf numFmtId="49" fontId="5" fillId="0" borderId="36" xfId="0" applyNumberFormat="1" applyFont="1" applyBorder="1"/>
    <xf numFmtId="164" fontId="10" fillId="0" borderId="7" xfId="0" applyNumberFormat="1" applyFont="1" applyBorder="1"/>
    <xf numFmtId="164" fontId="10" fillId="0" borderId="8" xfId="0" applyNumberFormat="1" applyFont="1" applyBorder="1"/>
    <xf numFmtId="9" fontId="10" fillId="0" borderId="8" xfId="2" applyFont="1" applyBorder="1"/>
    <xf numFmtId="164" fontId="10" fillId="4" borderId="7" xfId="0" applyNumberFormat="1" applyFont="1" applyFill="1" applyBorder="1"/>
    <xf numFmtId="9" fontId="10" fillId="0" borderId="28" xfId="2" applyFont="1" applyBorder="1"/>
    <xf numFmtId="164" fontId="5" fillId="0" borderId="3" xfId="0" applyNumberFormat="1" applyFont="1" applyBorder="1"/>
    <xf numFmtId="164" fontId="5" fillId="0" borderId="0" xfId="0" applyNumberFormat="1" applyFont="1"/>
    <xf numFmtId="9" fontId="5" fillId="0" borderId="0" xfId="2" applyFont="1" applyBorder="1"/>
    <xf numFmtId="9" fontId="5" fillId="0" borderId="25" xfId="2" applyFont="1" applyBorder="1"/>
    <xf numFmtId="9" fontId="10" fillId="0" borderId="35" xfId="2" applyFont="1" applyFill="1" applyBorder="1"/>
    <xf numFmtId="9" fontId="10" fillId="0" borderId="30" xfId="2" applyFont="1" applyFill="1" applyBorder="1"/>
    <xf numFmtId="164" fontId="10" fillId="0" borderId="10" xfId="0" applyNumberFormat="1" applyFont="1" applyBorder="1"/>
    <xf numFmtId="164" fontId="10" fillId="0" borderId="11" xfId="0" applyNumberFormat="1" applyFont="1" applyBorder="1"/>
    <xf numFmtId="0" fontId="6" fillId="0" borderId="2" xfId="0" applyFont="1" applyBorder="1"/>
    <xf numFmtId="49" fontId="10" fillId="0" borderId="27" xfId="0" applyNumberFormat="1" applyFont="1" applyBorder="1"/>
    <xf numFmtId="49" fontId="10" fillId="0" borderId="36" xfId="0" applyNumberFormat="1" applyFont="1" applyBorder="1"/>
    <xf numFmtId="9" fontId="10" fillId="0" borderId="29" xfId="2" applyFont="1" applyBorder="1"/>
    <xf numFmtId="164" fontId="10" fillId="0" borderId="14" xfId="0" applyNumberFormat="1" applyFont="1" applyBorder="1"/>
    <xf numFmtId="9" fontId="10" fillId="0" borderId="36" xfId="2" applyFont="1" applyBorder="1"/>
    <xf numFmtId="164" fontId="10" fillId="3" borderId="39" xfId="0" applyNumberFormat="1" applyFont="1" applyFill="1" applyBorder="1"/>
    <xf numFmtId="164" fontId="10" fillId="3" borderId="10" xfId="0" applyNumberFormat="1" applyFont="1" applyFill="1" applyBorder="1"/>
    <xf numFmtId="164" fontId="5" fillId="0" borderId="10" xfId="0" applyNumberFormat="1" applyFont="1" applyBorder="1"/>
    <xf numFmtId="164" fontId="5" fillId="0" borderId="11" xfId="0" applyNumberFormat="1" applyFont="1" applyBorder="1"/>
    <xf numFmtId="9" fontId="5" fillId="0" borderId="11" xfId="2" applyFont="1" applyBorder="1"/>
    <xf numFmtId="9" fontId="5" fillId="0" borderId="29" xfId="2" applyFont="1" applyBorder="1"/>
    <xf numFmtId="164" fontId="8" fillId="2" borderId="3" xfId="0" applyNumberFormat="1" applyFont="1" applyFill="1" applyBorder="1"/>
    <xf numFmtId="49" fontId="10" fillId="0" borderId="24" xfId="0" applyNumberFormat="1" applyFont="1" applyBorder="1"/>
    <xf numFmtId="164" fontId="9" fillId="2" borderId="7" xfId="0" applyNumberFormat="1" applyFont="1" applyFill="1" applyBorder="1"/>
    <xf numFmtId="164" fontId="5" fillId="0" borderId="7" xfId="0" applyNumberFormat="1" applyFont="1" applyBorder="1"/>
    <xf numFmtId="164" fontId="5" fillId="0" borderId="8" xfId="0" applyNumberFormat="1" applyFont="1" applyBorder="1"/>
    <xf numFmtId="9" fontId="5" fillId="0" borderId="8" xfId="2" applyFont="1" applyBorder="1"/>
    <xf numFmtId="9" fontId="5" fillId="0" borderId="28" xfId="2" applyFont="1" applyBorder="1"/>
    <xf numFmtId="0" fontId="5" fillId="0" borderId="24" xfId="0" applyFont="1" applyBorder="1"/>
    <xf numFmtId="164" fontId="5" fillId="0" borderId="14" xfId="0" applyNumberFormat="1" applyFont="1" applyBorder="1"/>
    <xf numFmtId="164" fontId="5" fillId="0" borderId="15" xfId="0" applyNumberFormat="1" applyFont="1" applyBorder="1"/>
    <xf numFmtId="9" fontId="5" fillId="0" borderId="15" xfId="2" applyFont="1" applyBorder="1"/>
    <xf numFmtId="9" fontId="5" fillId="0" borderId="37" xfId="2" applyFont="1" applyBorder="1"/>
    <xf numFmtId="49" fontId="5" fillId="0" borderId="16" xfId="0" applyNumberFormat="1" applyFont="1" applyBorder="1"/>
    <xf numFmtId="164" fontId="10" fillId="0" borderId="17" xfId="0" applyNumberFormat="1" applyFont="1" applyBorder="1"/>
    <xf numFmtId="164" fontId="5" fillId="0" borderId="18" xfId="0" applyNumberFormat="1" applyFont="1" applyBorder="1"/>
    <xf numFmtId="9" fontId="5" fillId="0" borderId="18" xfId="2" applyFont="1" applyBorder="1"/>
    <xf numFmtId="9" fontId="5" fillId="0" borderId="26" xfId="2" applyFont="1" applyBorder="1"/>
    <xf numFmtId="0" fontId="5" fillId="0" borderId="27" xfId="0" applyFont="1" applyBorder="1"/>
    <xf numFmtId="0" fontId="9" fillId="0" borderId="8" xfId="0" applyFont="1" applyBorder="1"/>
    <xf numFmtId="164" fontId="11" fillId="0" borderId="8" xfId="0" applyNumberFormat="1" applyFont="1" applyBorder="1"/>
    <xf numFmtId="164" fontId="6" fillId="0" borderId="8" xfId="0" applyNumberFormat="1" applyFont="1" applyBorder="1"/>
    <xf numFmtId="9" fontId="6" fillId="0" borderId="8" xfId="2" applyFont="1" applyBorder="1"/>
    <xf numFmtId="9" fontId="6" fillId="0" borderId="28" xfId="2" applyFont="1" applyBorder="1"/>
    <xf numFmtId="0" fontId="9" fillId="0" borderId="0" xfId="0" applyFont="1"/>
    <xf numFmtId="164" fontId="11" fillId="0" borderId="0" xfId="0" applyNumberFormat="1" applyFont="1"/>
    <xf numFmtId="49" fontId="7" fillId="0" borderId="38" xfId="0" applyNumberFormat="1" applyFont="1" applyBorder="1" applyAlignment="1">
      <alignment horizontal="center"/>
    </xf>
    <xf numFmtId="9" fontId="10" fillId="0" borderId="5" xfId="2" applyFont="1" applyBorder="1"/>
    <xf numFmtId="164" fontId="10" fillId="3" borderId="33" xfId="0" applyNumberFormat="1" applyFont="1" applyFill="1" applyBorder="1"/>
    <xf numFmtId="9" fontId="10" fillId="0" borderId="35" xfId="2" applyFont="1" applyBorder="1"/>
    <xf numFmtId="9" fontId="10" fillId="0" borderId="41" xfId="2" applyFont="1" applyBorder="1"/>
    <xf numFmtId="9" fontId="5" fillId="0" borderId="5" xfId="2" applyFont="1" applyBorder="1"/>
    <xf numFmtId="164" fontId="10" fillId="3" borderId="33" xfId="0" applyNumberFormat="1" applyFont="1" applyFill="1" applyBorder="1" applyAlignment="1">
      <alignment horizontal="right"/>
    </xf>
    <xf numFmtId="164" fontId="6" fillId="0" borderId="1" xfId="0" applyNumberFormat="1" applyFont="1" applyBorder="1"/>
    <xf numFmtId="164" fontId="6" fillId="0" borderId="2" xfId="0" applyNumberFormat="1" applyFont="1" applyBorder="1"/>
    <xf numFmtId="164" fontId="7" fillId="0" borderId="10" xfId="0" applyNumberFormat="1" applyFont="1" applyBorder="1"/>
    <xf numFmtId="164" fontId="7" fillId="0" borderId="11" xfId="0" applyNumberFormat="1" applyFont="1" applyBorder="1"/>
    <xf numFmtId="9" fontId="7" fillId="0" borderId="41" xfId="2" applyFont="1" applyBorder="1"/>
    <xf numFmtId="9" fontId="7" fillId="0" borderId="29" xfId="2" applyFont="1" applyBorder="1"/>
    <xf numFmtId="164" fontId="10" fillId="0" borderId="34" xfId="0" applyNumberFormat="1" applyFont="1" applyBorder="1"/>
    <xf numFmtId="164" fontId="5" fillId="0" borderId="31" xfId="0" applyNumberFormat="1" applyFont="1" applyBorder="1"/>
    <xf numFmtId="164" fontId="5" fillId="0" borderId="16" xfId="0" applyNumberFormat="1" applyFont="1" applyBorder="1"/>
    <xf numFmtId="9" fontId="5" fillId="0" borderId="42" xfId="2" applyFont="1" applyBorder="1"/>
    <xf numFmtId="9" fontId="5" fillId="0" borderId="32" xfId="2" applyFont="1" applyBorder="1"/>
    <xf numFmtId="164" fontId="7" fillId="0" borderId="8" xfId="0" applyNumberFormat="1" applyFont="1" applyBorder="1"/>
    <xf numFmtId="164" fontId="12" fillId="0" borderId="8" xfId="0" applyNumberFormat="1" applyFont="1" applyBorder="1"/>
    <xf numFmtId="9" fontId="7" fillId="0" borderId="8" xfId="2" applyFont="1" applyBorder="1"/>
    <xf numFmtId="9" fontId="7" fillId="0" borderId="40" xfId="2" applyFont="1" applyBorder="1"/>
    <xf numFmtId="164" fontId="7" fillId="0" borderId="0" xfId="0" applyNumberFormat="1" applyFont="1"/>
    <xf numFmtId="164" fontId="12" fillId="0" borderId="0" xfId="0" applyNumberFormat="1" applyFont="1"/>
    <xf numFmtId="9" fontId="7" fillId="0" borderId="0" xfId="2" applyFont="1"/>
    <xf numFmtId="164" fontId="10" fillId="3" borderId="13" xfId="0" applyNumberFormat="1" applyFont="1" applyFill="1" applyBorder="1"/>
    <xf numFmtId="164" fontId="10" fillId="3" borderId="2" xfId="0" applyNumberFormat="1" applyFont="1" applyFill="1" applyBorder="1"/>
    <xf numFmtId="9" fontId="10" fillId="2" borderId="5" xfId="2" applyFont="1" applyFill="1" applyBorder="1"/>
    <xf numFmtId="9" fontId="10" fillId="2" borderId="25" xfId="2" applyFont="1" applyFill="1" applyBorder="1"/>
    <xf numFmtId="164" fontId="10" fillId="2" borderId="2" xfId="0" applyNumberFormat="1" applyFont="1" applyFill="1" applyBorder="1"/>
    <xf numFmtId="9" fontId="10" fillId="2" borderId="35" xfId="2" applyFont="1" applyFill="1" applyBorder="1"/>
    <xf numFmtId="9" fontId="10" fillId="2" borderId="30" xfId="2" applyFont="1" applyFill="1" applyBorder="1"/>
    <xf numFmtId="164" fontId="6" fillId="0" borderId="7" xfId="0" applyNumberFormat="1" applyFont="1" applyBorder="1"/>
    <xf numFmtId="164" fontId="10" fillId="3" borderId="2" xfId="0" applyNumberFormat="1" applyFont="1" applyFill="1" applyBorder="1" applyAlignment="1">
      <alignment horizontal="right"/>
    </xf>
    <xf numFmtId="164" fontId="6" fillId="0" borderId="9" xfId="0" applyNumberFormat="1" applyFont="1" applyBorder="1"/>
    <xf numFmtId="0" fontId="5" fillId="0" borderId="8" xfId="0" applyFont="1" applyBorder="1"/>
    <xf numFmtId="0" fontId="6" fillId="0" borderId="8" xfId="0" applyFont="1" applyBorder="1"/>
    <xf numFmtId="9" fontId="6" fillId="0" borderId="40" xfId="2" applyFont="1" applyBorder="1"/>
    <xf numFmtId="164" fontId="5" fillId="0" borderId="41" xfId="0" quotePrefix="1" applyNumberFormat="1" applyFont="1" applyBorder="1" applyAlignment="1">
      <alignment horizontal="center"/>
    </xf>
    <xf numFmtId="0" fontId="6" fillId="0" borderId="3" xfId="0" applyFont="1" applyBorder="1"/>
    <xf numFmtId="164" fontId="10" fillId="0" borderId="5" xfId="0" applyNumberFormat="1" applyFont="1" applyBorder="1"/>
    <xf numFmtId="0" fontId="6" fillId="0" borderId="7" xfId="0" applyFont="1" applyBorder="1"/>
    <xf numFmtId="164" fontId="10" fillId="0" borderId="36" xfId="0" applyNumberFormat="1" applyFont="1" applyBorder="1"/>
    <xf numFmtId="164" fontId="10" fillId="3" borderId="11" xfId="0" applyNumberFormat="1" applyFont="1" applyFill="1" applyBorder="1"/>
    <xf numFmtId="164" fontId="5" fillId="0" borderId="42" xfId="0" applyNumberFormat="1" applyFont="1" applyBorder="1"/>
    <xf numFmtId="9" fontId="10" fillId="0" borderId="0" xfId="2" applyFont="1" applyFill="1" applyBorder="1"/>
    <xf numFmtId="9" fontId="10" fillId="0" borderId="25" xfId="2" applyFont="1" applyFill="1" applyBorder="1"/>
    <xf numFmtId="9" fontId="6" fillId="0" borderId="0" xfId="2" applyFont="1" applyFill="1" applyBorder="1"/>
    <xf numFmtId="9" fontId="6" fillId="0" borderId="25" xfId="2" applyFont="1" applyFill="1" applyBorder="1"/>
    <xf numFmtId="9" fontId="10" fillId="0" borderId="8" xfId="2" applyFont="1" applyFill="1" applyBorder="1"/>
    <xf numFmtId="9" fontId="10" fillId="0" borderId="28" xfId="2" applyFont="1" applyFill="1" applyBorder="1"/>
    <xf numFmtId="9" fontId="5" fillId="0" borderId="0" xfId="2" applyFont="1" applyFill="1" applyBorder="1"/>
    <xf numFmtId="9" fontId="5" fillId="0" borderId="25" xfId="2" applyFont="1" applyFill="1" applyBorder="1"/>
    <xf numFmtId="9" fontId="10" fillId="0" borderId="2" xfId="2" applyFont="1" applyFill="1" applyBorder="1"/>
    <xf numFmtId="9" fontId="10" fillId="0" borderId="11" xfId="2" applyFont="1" applyFill="1" applyBorder="1"/>
    <xf numFmtId="9" fontId="10" fillId="0" borderId="29" xfId="2" applyFont="1" applyFill="1" applyBorder="1"/>
    <xf numFmtId="165" fontId="5" fillId="0" borderId="0" xfId="1" applyNumberFormat="1" applyFont="1"/>
    <xf numFmtId="0" fontId="6" fillId="0" borderId="27" xfId="0" applyFont="1" applyBorder="1"/>
    <xf numFmtId="0" fontId="13" fillId="0" borderId="0" xfId="0" applyFont="1"/>
    <xf numFmtId="165" fontId="7" fillId="0" borderId="0" xfId="1" applyNumberFormat="1" applyFont="1"/>
    <xf numFmtId="165" fontId="13" fillId="0" borderId="0" xfId="1" applyNumberFormat="1" applyFont="1"/>
    <xf numFmtId="165" fontId="5" fillId="0" borderId="16" xfId="1" applyNumberFormat="1" applyFont="1" applyBorder="1"/>
    <xf numFmtId="0" fontId="7" fillId="0" borderId="44" xfId="0" applyFont="1" applyBorder="1"/>
    <xf numFmtId="49" fontId="5" fillId="0" borderId="45" xfId="0" applyNumberFormat="1" applyFont="1" applyBorder="1"/>
    <xf numFmtId="164" fontId="7" fillId="0" borderId="45" xfId="0" applyNumberFormat="1" applyFont="1" applyBorder="1"/>
    <xf numFmtId="164" fontId="5" fillId="0" borderId="45" xfId="0" applyNumberFormat="1" applyFont="1" applyBorder="1"/>
    <xf numFmtId="9" fontId="5" fillId="0" borderId="45" xfId="2" applyFont="1" applyBorder="1"/>
    <xf numFmtId="9" fontId="5" fillId="0" borderId="46" xfId="2" applyFont="1" applyBorder="1"/>
    <xf numFmtId="9" fontId="10" fillId="0" borderId="5" xfId="2" applyFont="1" applyFill="1" applyBorder="1"/>
    <xf numFmtId="9" fontId="10" fillId="0" borderId="36" xfId="2" applyFont="1" applyFill="1" applyBorder="1"/>
    <xf numFmtId="164" fontId="5" fillId="0" borderId="47" xfId="0" applyNumberFormat="1" applyFont="1" applyBorder="1"/>
    <xf numFmtId="0" fontId="5" fillId="0" borderId="48" xfId="0" applyFont="1" applyBorder="1"/>
    <xf numFmtId="49" fontId="5" fillId="0" borderId="18" xfId="0" applyNumberFormat="1" applyFont="1" applyBorder="1"/>
    <xf numFmtId="49" fontId="5" fillId="0" borderId="49" xfId="0" applyNumberFormat="1" applyFont="1" applyBorder="1"/>
    <xf numFmtId="0" fontId="5" fillId="0" borderId="43" xfId="0" applyFont="1" applyBorder="1"/>
    <xf numFmtId="49" fontId="5" fillId="0" borderId="42" xfId="0" applyNumberFormat="1" applyFont="1" applyBorder="1"/>
    <xf numFmtId="49" fontId="5" fillId="0" borderId="50" xfId="0" applyNumberFormat="1" applyFont="1" applyBorder="1"/>
    <xf numFmtId="49" fontId="5" fillId="0" borderId="2" xfId="0" applyNumberFormat="1" applyFont="1" applyBorder="1"/>
    <xf numFmtId="49" fontId="10" fillId="0" borderId="2" xfId="0" applyNumberFormat="1" applyFont="1" applyBorder="1"/>
    <xf numFmtId="49" fontId="5" fillId="0" borderId="35" xfId="0" applyNumberFormat="1" applyFont="1" applyBorder="1"/>
    <xf numFmtId="49" fontId="10" fillId="0" borderId="51" xfId="0" applyNumberFormat="1" applyFont="1" applyBorder="1"/>
    <xf numFmtId="49" fontId="10" fillId="0" borderId="11" xfId="0" applyNumberFormat="1" applyFont="1" applyBorder="1"/>
    <xf numFmtId="49" fontId="10" fillId="0" borderId="41" xfId="0" applyNumberFormat="1" applyFont="1" applyBorder="1"/>
    <xf numFmtId="164" fontId="6" fillId="0" borderId="6" xfId="0" applyNumberFormat="1" applyFont="1" applyBorder="1"/>
    <xf numFmtId="49" fontId="5" fillId="0" borderId="52" xfId="0" applyNumberFormat="1" applyFont="1" applyBorder="1"/>
    <xf numFmtId="49" fontId="5" fillId="0" borderId="51" xfId="0" applyNumberFormat="1" applyFont="1" applyBorder="1"/>
    <xf numFmtId="49" fontId="5" fillId="0" borderId="11" xfId="0" applyNumberFormat="1" applyFont="1" applyBorder="1"/>
    <xf numFmtId="49" fontId="5" fillId="0" borderId="41" xfId="0" applyNumberFormat="1" applyFont="1" applyBorder="1"/>
    <xf numFmtId="165" fontId="5" fillId="0" borderId="43" xfId="1" applyNumberFormat="1" applyFont="1" applyBorder="1" applyAlignment="1">
      <alignment horizontal="left"/>
    </xf>
    <xf numFmtId="3" fontId="7" fillId="0" borderId="47" xfId="0" applyNumberFormat="1" applyFont="1" applyBorder="1"/>
    <xf numFmtId="164" fontId="7" fillId="0" borderId="53" xfId="0" applyNumberFormat="1" applyFont="1" applyBorder="1"/>
    <xf numFmtId="9" fontId="5" fillId="0" borderId="53" xfId="2" applyFont="1" applyBorder="1"/>
    <xf numFmtId="0" fontId="8" fillId="2" borderId="10" xfId="0" applyFont="1" applyFill="1" applyBorder="1" applyAlignment="1">
      <alignment horizontal="center"/>
    </xf>
    <xf numFmtId="164" fontId="9" fillId="2" borderId="4" xfId="0" applyNumberFormat="1" applyFont="1" applyFill="1" applyBorder="1"/>
    <xf numFmtId="164" fontId="9" fillId="2" borderId="1" xfId="0" applyNumberFormat="1" applyFont="1" applyFill="1" applyBorder="1"/>
    <xf numFmtId="164" fontId="9" fillId="2" borderId="10" xfId="0" applyNumberFormat="1" applyFont="1" applyFill="1" applyBorder="1"/>
    <xf numFmtId="164" fontId="11" fillId="2" borderId="3" xfId="0" applyNumberFormat="1" applyFont="1" applyFill="1" applyBorder="1"/>
    <xf numFmtId="164" fontId="8" fillId="2" borderId="47" xfId="0" applyNumberFormat="1" applyFont="1" applyFill="1" applyBorder="1"/>
    <xf numFmtId="164" fontId="8" fillId="2" borderId="31" xfId="0" applyNumberFormat="1" applyFont="1" applyFill="1" applyBorder="1"/>
    <xf numFmtId="164" fontId="12" fillId="2" borderId="10" xfId="0" applyNumberFormat="1" applyFont="1" applyFill="1" applyBorder="1"/>
    <xf numFmtId="164" fontId="8" fillId="2" borderId="10" xfId="0" applyNumberFormat="1" applyFont="1" applyFill="1" applyBorder="1"/>
    <xf numFmtId="164" fontId="8" fillId="2" borderId="7" xfId="0" applyNumberFormat="1" applyFont="1" applyFill="1" applyBorder="1"/>
    <xf numFmtId="164" fontId="8" fillId="2" borderId="14" xfId="0" applyNumberFormat="1" applyFont="1" applyFill="1" applyBorder="1"/>
    <xf numFmtId="0" fontId="14" fillId="0" borderId="0" xfId="0" applyFont="1"/>
    <xf numFmtId="0" fontId="15" fillId="0" borderId="0" xfId="0" applyFont="1"/>
    <xf numFmtId="164" fontId="10" fillId="0" borderId="35" xfId="0" applyNumberFormat="1" applyFont="1" applyBorder="1"/>
    <xf numFmtId="0" fontId="10" fillId="0" borderId="0" xfId="0" applyFont="1"/>
    <xf numFmtId="164" fontId="10" fillId="3" borderId="1" xfId="0" applyNumberFormat="1" applyFont="1" applyFill="1" applyBorder="1" applyAlignment="1">
      <alignment horizontal="right"/>
    </xf>
    <xf numFmtId="164" fontId="18" fillId="2" borderId="3" xfId="0" applyNumberFormat="1" applyFont="1" applyFill="1" applyBorder="1"/>
    <xf numFmtId="164" fontId="14" fillId="3" borderId="12" xfId="0" applyNumberFormat="1" applyFont="1" applyFill="1" applyBorder="1"/>
    <xf numFmtId="164" fontId="14" fillId="3" borderId="33" xfId="0" applyNumberFormat="1" applyFont="1" applyFill="1" applyBorder="1"/>
    <xf numFmtId="164" fontId="10" fillId="3" borderId="19" xfId="0" applyNumberFormat="1" applyFont="1" applyFill="1" applyBorder="1"/>
    <xf numFmtId="164" fontId="5" fillId="0" borderId="17" xfId="0" applyNumberFormat="1" applyFont="1" applyBorder="1"/>
    <xf numFmtId="164" fontId="19" fillId="2" borderId="3" xfId="0" applyNumberFormat="1" applyFont="1" applyFill="1" applyBorder="1"/>
    <xf numFmtId="0" fontId="20" fillId="0" borderId="0" xfId="0" applyFont="1"/>
    <xf numFmtId="49" fontId="21" fillId="0" borderId="0" xfId="0" applyNumberFormat="1" applyFont="1"/>
    <xf numFmtId="0" fontId="24" fillId="0" borderId="0" xfId="0" applyFont="1"/>
    <xf numFmtId="49" fontId="24" fillId="0" borderId="0" xfId="0" applyNumberFormat="1" applyFont="1" applyAlignment="1">
      <alignment horizontal="center"/>
    </xf>
    <xf numFmtId="0" fontId="25" fillId="5" borderId="64" xfId="0" applyFont="1" applyFill="1" applyBorder="1" applyAlignment="1">
      <alignment horizontal="center" wrapText="1"/>
    </xf>
    <xf numFmtId="0" fontId="25" fillId="5" borderId="54" xfId="0" applyFont="1" applyFill="1" applyBorder="1" applyAlignment="1">
      <alignment horizontal="center" wrapText="1"/>
    </xf>
    <xf numFmtId="0" fontId="4" fillId="0" borderId="0" xfId="0" applyFont="1" applyAlignment="1">
      <alignment horizontal="center"/>
    </xf>
    <xf numFmtId="49" fontId="24" fillId="0" borderId="0" xfId="0" applyNumberFormat="1" applyFont="1"/>
    <xf numFmtId="49" fontId="24" fillId="0" borderId="66" xfId="0" applyNumberFormat="1" applyFont="1" applyBorder="1"/>
    <xf numFmtId="0" fontId="24" fillId="0" borderId="22" xfId="0" applyFont="1" applyBorder="1"/>
    <xf numFmtId="49" fontId="24" fillId="0" borderId="22" xfId="0" applyNumberFormat="1" applyFont="1" applyBorder="1"/>
    <xf numFmtId="164" fontId="24" fillId="0" borderId="67" xfId="0" applyNumberFormat="1" applyFont="1" applyBorder="1"/>
    <xf numFmtId="164" fontId="24" fillId="0" borderId="68" xfId="0" applyNumberFormat="1" applyFont="1" applyBorder="1"/>
    <xf numFmtId="49" fontId="24" fillId="0" borderId="24" xfId="0" applyNumberFormat="1" applyFont="1" applyBorder="1"/>
    <xf numFmtId="164" fontId="21" fillId="0" borderId="4" xfId="0" applyNumberFormat="1" applyFont="1" applyBorder="1"/>
    <xf numFmtId="164" fontId="21" fillId="0" borderId="55" xfId="0" applyNumberFormat="1" applyFont="1" applyBorder="1"/>
    <xf numFmtId="164" fontId="21" fillId="0" borderId="56" xfId="0" applyNumberFormat="1" applyFont="1" applyBorder="1"/>
    <xf numFmtId="164" fontId="21" fillId="0" borderId="62" xfId="0" applyNumberFormat="1" applyFont="1" applyBorder="1"/>
    <xf numFmtId="49" fontId="24" fillId="0" borderId="50" xfId="0" applyNumberFormat="1" applyFont="1" applyBorder="1"/>
    <xf numFmtId="49" fontId="24" fillId="0" borderId="2" xfId="0" applyNumberFormat="1" applyFont="1" applyBorder="1"/>
    <xf numFmtId="49" fontId="21" fillId="0" borderId="2" xfId="0" applyNumberFormat="1" applyFont="1" applyBorder="1"/>
    <xf numFmtId="0" fontId="4" fillId="0" borderId="2" xfId="0" applyFont="1" applyBorder="1"/>
    <xf numFmtId="164" fontId="21" fillId="0" borderId="65" xfId="0" applyNumberFormat="1" applyFont="1" applyBorder="1"/>
    <xf numFmtId="49" fontId="21" fillId="0" borderId="24" xfId="0" applyNumberFormat="1" applyFont="1" applyBorder="1"/>
    <xf numFmtId="164" fontId="26" fillId="0" borderId="4" xfId="0" applyNumberFormat="1" applyFont="1" applyBorder="1"/>
    <xf numFmtId="49" fontId="21" fillId="0" borderId="50" xfId="0" applyNumberFormat="1" applyFont="1" applyBorder="1"/>
    <xf numFmtId="0" fontId="4" fillId="0" borderId="24" xfId="0" applyFont="1" applyBorder="1"/>
    <xf numFmtId="49" fontId="21" fillId="0" borderId="13" xfId="0" applyNumberFormat="1" applyFont="1" applyBorder="1"/>
    <xf numFmtId="164" fontId="21" fillId="0" borderId="58" xfId="0" applyNumberFormat="1" applyFont="1" applyBorder="1"/>
    <xf numFmtId="49" fontId="21" fillId="0" borderId="27" xfId="0" applyNumberFormat="1" applyFont="1" applyBorder="1"/>
    <xf numFmtId="49" fontId="21" fillId="0" borderId="8" xfId="0" applyNumberFormat="1" applyFont="1" applyBorder="1"/>
    <xf numFmtId="164" fontId="21" fillId="0" borderId="9" xfId="0" applyNumberFormat="1" applyFont="1" applyBorder="1"/>
    <xf numFmtId="164" fontId="21" fillId="0" borderId="59" xfId="0" applyNumberFormat="1" applyFont="1" applyBorder="1"/>
    <xf numFmtId="0" fontId="27" fillId="0" borderId="0" xfId="0" applyFont="1"/>
    <xf numFmtId="164" fontId="28" fillId="0" borderId="56" xfId="0" applyNumberFormat="1" applyFont="1" applyBorder="1"/>
    <xf numFmtId="0" fontId="21" fillId="0" borderId="0" xfId="0" applyFont="1"/>
    <xf numFmtId="164" fontId="21" fillId="0" borderId="60" xfId="0" applyNumberFormat="1" applyFont="1" applyBorder="1"/>
    <xf numFmtId="164" fontId="21" fillId="0" borderId="61" xfId="0" applyNumberFormat="1" applyFont="1" applyBorder="1"/>
    <xf numFmtId="0" fontId="13" fillId="0" borderId="2" xfId="0" applyFont="1" applyBorder="1"/>
    <xf numFmtId="0" fontId="4" fillId="0" borderId="69" xfId="0" applyFont="1" applyBorder="1"/>
    <xf numFmtId="49" fontId="21" fillId="0" borderId="33" xfId="0" applyNumberFormat="1" applyFont="1" applyBorder="1"/>
    <xf numFmtId="164" fontId="21" fillId="0" borderId="6" xfId="0" applyNumberFormat="1" applyFont="1" applyBorder="1"/>
    <xf numFmtId="0" fontId="24" fillId="0" borderId="27" xfId="0" applyFont="1" applyBorder="1"/>
    <xf numFmtId="49" fontId="24" fillId="0" borderId="8" xfId="0" applyNumberFormat="1" applyFont="1" applyBorder="1"/>
    <xf numFmtId="164" fontId="24" fillId="0" borderId="9" xfId="0" applyNumberFormat="1" applyFont="1" applyBorder="1"/>
    <xf numFmtId="164" fontId="24" fillId="0" borderId="57" xfId="0" applyNumberFormat="1" applyFont="1" applyBorder="1"/>
    <xf numFmtId="164" fontId="4" fillId="0" borderId="0" xfId="0" applyNumberFormat="1" applyFont="1"/>
    <xf numFmtId="49" fontId="24" fillId="0" borderId="16" xfId="0" applyNumberFormat="1" applyFont="1" applyBorder="1"/>
    <xf numFmtId="164" fontId="21" fillId="0" borderId="0" xfId="0" applyNumberFormat="1" applyFont="1"/>
    <xf numFmtId="164" fontId="24" fillId="0" borderId="18" xfId="0" applyNumberFormat="1" applyFont="1" applyBorder="1"/>
    <xf numFmtId="0" fontId="24" fillId="0" borderId="24" xfId="0" applyFont="1" applyBorder="1"/>
    <xf numFmtId="0" fontId="22" fillId="0" borderId="0" xfId="0" applyFont="1"/>
    <xf numFmtId="49" fontId="21" fillId="0" borderId="17" xfId="0" applyNumberFormat="1" applyFont="1" applyBorder="1"/>
    <xf numFmtId="164" fontId="21" fillId="0" borderId="57" xfId="0" applyNumberFormat="1" applyFont="1" applyBorder="1"/>
    <xf numFmtId="49" fontId="21" fillId="0" borderId="69" xfId="0" applyNumberFormat="1" applyFont="1" applyBorder="1"/>
    <xf numFmtId="164" fontId="4" fillId="0" borderId="63" xfId="0" applyNumberFormat="1" applyFont="1" applyBorder="1"/>
    <xf numFmtId="164" fontId="4" fillId="0" borderId="3" xfId="0" applyNumberFormat="1" applyFont="1" applyBorder="1"/>
    <xf numFmtId="164" fontId="4" fillId="0" borderId="7" xfId="0" applyNumberFormat="1" applyFont="1" applyBorder="1"/>
    <xf numFmtId="0" fontId="24" fillId="0" borderId="44" xfId="0" applyFont="1" applyBorder="1"/>
    <xf numFmtId="49" fontId="24" fillId="0" borderId="45" xfId="0" applyNumberFormat="1" applyFont="1" applyBorder="1"/>
    <xf numFmtId="164" fontId="24" fillId="0" borderId="64" xfId="0" applyNumberFormat="1" applyFont="1" applyBorder="1"/>
    <xf numFmtId="164" fontId="13" fillId="0" borderId="0" xfId="0" applyNumberFormat="1" applyFont="1"/>
    <xf numFmtId="164" fontId="24" fillId="0" borderId="0" xfId="0" applyNumberFormat="1" applyFont="1"/>
    <xf numFmtId="164" fontId="21" fillId="2" borderId="4" xfId="0" applyNumberFormat="1" applyFont="1" applyFill="1" applyBorder="1"/>
    <xf numFmtId="164" fontId="21" fillId="2" borderId="62" xfId="0" applyNumberFormat="1" applyFont="1" applyFill="1" applyBorder="1"/>
    <xf numFmtId="0" fontId="4" fillId="0" borderId="4" xfId="0" applyFont="1" applyBorder="1"/>
    <xf numFmtId="164" fontId="21" fillId="0" borderId="55" xfId="0" applyNumberFormat="1" applyFont="1" applyBorder="1" applyAlignment="1">
      <alignment horizontal="right"/>
    </xf>
    <xf numFmtId="49" fontId="24" fillId="0" borderId="69" xfId="0" applyNumberFormat="1" applyFont="1" applyBorder="1"/>
    <xf numFmtId="49" fontId="24" fillId="0" borderId="13" xfId="0" applyNumberFormat="1" applyFont="1" applyBorder="1"/>
    <xf numFmtId="164" fontId="4" fillId="0" borderId="60" xfId="0" applyNumberFormat="1" applyFont="1" applyBorder="1"/>
    <xf numFmtId="49" fontId="24" fillId="0" borderId="5" xfId="0" applyNumberFormat="1" applyFont="1" applyBorder="1"/>
    <xf numFmtId="49" fontId="24" fillId="0" borderId="27" xfId="0" applyNumberFormat="1" applyFont="1" applyBorder="1"/>
    <xf numFmtId="164" fontId="24" fillId="0" borderId="45" xfId="0" applyNumberFormat="1" applyFont="1" applyBorder="1"/>
    <xf numFmtId="164" fontId="24" fillId="0" borderId="47" xfId="0" applyNumberFormat="1" applyFont="1" applyBorder="1"/>
    <xf numFmtId="164" fontId="26" fillId="0" borderId="3" xfId="0" applyNumberFormat="1" applyFont="1" applyBorder="1"/>
    <xf numFmtId="164" fontId="4" fillId="0" borderId="4" xfId="0" applyNumberFormat="1" applyFont="1" applyBorder="1"/>
    <xf numFmtId="164" fontId="21" fillId="0" borderId="3" xfId="0" applyNumberFormat="1" applyFont="1" applyBorder="1"/>
    <xf numFmtId="164" fontId="21" fillId="0" borderId="25" xfId="0" applyNumberFormat="1" applyFont="1" applyBorder="1"/>
    <xf numFmtId="164" fontId="4" fillId="0" borderId="9" xfId="0" applyNumberFormat="1" applyFont="1" applyBorder="1"/>
    <xf numFmtId="164" fontId="21" fillId="0" borderId="8" xfId="0" applyNumberFormat="1" applyFont="1" applyBorder="1"/>
    <xf numFmtId="164" fontId="21" fillId="0" borderId="7" xfId="0" applyNumberFormat="1" applyFont="1" applyBorder="1"/>
    <xf numFmtId="164" fontId="21" fillId="0" borderId="28" xfId="0" applyNumberFormat="1" applyFont="1" applyBorder="1"/>
    <xf numFmtId="49" fontId="24" fillId="0" borderId="53" xfId="0" applyNumberFormat="1" applyFont="1" applyBorder="1"/>
    <xf numFmtId="164" fontId="24" fillId="0" borderId="8" xfId="0" applyNumberFormat="1" applyFont="1" applyBorder="1"/>
    <xf numFmtId="164" fontId="24" fillId="0" borderId="7" xfId="0" applyNumberFormat="1" applyFont="1" applyBorder="1"/>
    <xf numFmtId="164" fontId="24" fillId="0" borderId="28" xfId="0" applyNumberFormat="1" applyFont="1" applyBorder="1"/>
    <xf numFmtId="49" fontId="24" fillId="0" borderId="36" xfId="0" applyNumberFormat="1" applyFont="1" applyBorder="1"/>
    <xf numFmtId="164" fontId="24" fillId="0" borderId="3" xfId="0" applyNumberFormat="1" applyFont="1" applyBorder="1"/>
    <xf numFmtId="164" fontId="24" fillId="0" borderId="55" xfId="0" applyNumberFormat="1" applyFont="1" applyBorder="1"/>
    <xf numFmtId="49" fontId="21" fillId="0" borderId="5" xfId="0" applyNumberFormat="1" applyFont="1" applyBorder="1"/>
    <xf numFmtId="49" fontId="24" fillId="0" borderId="35" xfId="0" applyNumberFormat="1" applyFont="1" applyBorder="1"/>
    <xf numFmtId="164" fontId="24" fillId="0" borderId="54" xfId="0" applyNumberFormat="1" applyFont="1" applyBorder="1"/>
    <xf numFmtId="165" fontId="24" fillId="0" borderId="0" xfId="1" applyNumberFormat="1" applyFont="1"/>
    <xf numFmtId="165" fontId="24" fillId="0" borderId="27" xfId="1" applyNumberFormat="1" applyFont="1" applyBorder="1" applyAlignment="1">
      <alignment horizontal="left"/>
    </xf>
    <xf numFmtId="165" fontId="24" fillId="0" borderId="8" xfId="1" applyNumberFormat="1" applyFont="1" applyBorder="1"/>
    <xf numFmtId="165" fontId="24" fillId="0" borderId="36" xfId="1" applyNumberFormat="1" applyFont="1" applyBorder="1"/>
    <xf numFmtId="49" fontId="21" fillId="0" borderId="35" xfId="0" applyNumberFormat="1" applyFont="1" applyBorder="1"/>
    <xf numFmtId="0" fontId="13" fillId="0" borderId="27" xfId="0" applyFont="1" applyBorder="1"/>
    <xf numFmtId="164" fontId="4" fillId="0" borderId="36" xfId="0" applyNumberFormat="1" applyFont="1" applyBorder="1"/>
    <xf numFmtId="0" fontId="4" fillId="0" borderId="50" xfId="0" applyFont="1" applyBorder="1"/>
    <xf numFmtId="164" fontId="4" fillId="0" borderId="62" xfId="0" applyNumberFormat="1" applyFont="1" applyBorder="1"/>
    <xf numFmtId="164" fontId="21" fillId="0" borderId="2" xfId="0" applyNumberFormat="1" applyFont="1" applyBorder="1"/>
    <xf numFmtId="164" fontId="21" fillId="0" borderId="1" xfId="0" applyNumberFormat="1" applyFont="1" applyBorder="1"/>
    <xf numFmtId="49" fontId="24" fillId="0" borderId="70" xfId="0" applyNumberFormat="1" applyFont="1" applyBorder="1"/>
    <xf numFmtId="164" fontId="24" fillId="0" borderId="22" xfId="0" applyNumberFormat="1" applyFont="1" applyBorder="1"/>
    <xf numFmtId="164" fontId="24" fillId="0" borderId="21" xfId="0" applyNumberFormat="1" applyFont="1" applyBorder="1"/>
    <xf numFmtId="164" fontId="24" fillId="0" borderId="23" xfId="0" applyNumberFormat="1" applyFont="1" applyBorder="1"/>
    <xf numFmtId="49" fontId="24" fillId="0" borderId="12" xfId="0" applyNumberFormat="1" applyFont="1" applyBorder="1"/>
    <xf numFmtId="0" fontId="24" fillId="0" borderId="33" xfId="0" applyFont="1" applyBorder="1"/>
    <xf numFmtId="49" fontId="24" fillId="0" borderId="33" xfId="0" applyNumberFormat="1" applyFont="1" applyBorder="1"/>
    <xf numFmtId="164" fontId="24" fillId="0" borderId="6" xfId="0" applyNumberFormat="1" applyFont="1" applyBorder="1"/>
    <xf numFmtId="49" fontId="21" fillId="0" borderId="11" xfId="0" applyNumberFormat="1" applyFont="1" applyBorder="1"/>
    <xf numFmtId="49" fontId="25" fillId="5" borderId="44" xfId="0" applyNumberFormat="1" applyFont="1" applyFill="1" applyBorder="1" applyAlignment="1">
      <alignment horizontal="center"/>
    </xf>
    <xf numFmtId="49" fontId="25" fillId="5" borderId="45" xfId="0" applyNumberFormat="1" applyFont="1" applyFill="1" applyBorder="1" applyAlignment="1">
      <alignment horizontal="center"/>
    </xf>
    <xf numFmtId="49" fontId="25" fillId="5" borderId="46" xfId="0" applyNumberFormat="1" applyFont="1" applyFill="1" applyBorder="1" applyAlignment="1">
      <alignment horizontal="center"/>
    </xf>
    <xf numFmtId="49" fontId="23" fillId="0" borderId="44" xfId="0" applyNumberFormat="1" applyFont="1" applyBorder="1" applyAlignment="1">
      <alignment horizontal="center" vertical="center" wrapText="1"/>
    </xf>
    <xf numFmtId="49" fontId="23" fillId="0" borderId="45" xfId="0" applyNumberFormat="1" applyFont="1" applyBorder="1" applyAlignment="1">
      <alignment horizontal="center" vertical="center" wrapText="1"/>
    </xf>
    <xf numFmtId="49" fontId="16" fillId="5" borderId="27" xfId="0" applyNumberFormat="1" applyFont="1" applyFill="1" applyBorder="1" applyAlignment="1">
      <alignment horizontal="center"/>
    </xf>
    <xf numFmtId="49" fontId="16" fillId="5" borderId="8" xfId="0" applyNumberFormat="1" applyFont="1" applyFill="1" applyBorder="1" applyAlignment="1">
      <alignment horizontal="center"/>
    </xf>
    <xf numFmtId="49" fontId="16" fillId="5" borderId="36" xfId="0" applyNumberFormat="1" applyFont="1" applyFill="1" applyBorder="1" applyAlignment="1">
      <alignment horizontal="center"/>
    </xf>
    <xf numFmtId="49" fontId="16" fillId="5" borderId="20" xfId="0" applyNumberFormat="1" applyFont="1" applyFill="1" applyBorder="1" applyAlignment="1">
      <alignment horizontal="center"/>
    </xf>
    <xf numFmtId="49" fontId="16" fillId="5" borderId="17" xfId="0" applyNumberFormat="1" applyFont="1" applyFill="1" applyBorder="1" applyAlignment="1">
      <alignment horizontal="center"/>
    </xf>
    <xf numFmtId="49" fontId="16" fillId="5" borderId="52" xfId="0" applyNumberFormat="1" applyFont="1" applyFill="1" applyBorder="1" applyAlignment="1">
      <alignment horizontal="center"/>
    </xf>
    <xf numFmtId="49" fontId="7" fillId="0" borderId="21" xfId="0" applyNumberFormat="1" applyFont="1" applyBorder="1" applyAlignment="1">
      <alignment horizontal="center"/>
    </xf>
    <xf numFmtId="49" fontId="7" fillId="0" borderId="22" xfId="0" applyNumberFormat="1" applyFont="1" applyBorder="1" applyAlignment="1">
      <alignment horizontal="center"/>
    </xf>
    <xf numFmtId="49" fontId="7" fillId="0" borderId="23" xfId="0" applyNumberFormat="1" applyFont="1" applyBorder="1" applyAlignment="1">
      <alignment horizontal="center"/>
    </xf>
    <xf numFmtId="0" fontId="30" fillId="0" borderId="0" xfId="0" applyFont="1"/>
    <xf numFmtId="0" fontId="30" fillId="0" borderId="0" xfId="0" applyFont="1" applyAlignment="1">
      <alignment horizontal="left" vertical="top" wrapText="1"/>
    </xf>
    <xf numFmtId="0" fontId="30" fillId="0" borderId="0" xfId="0" applyFont="1" applyAlignment="1">
      <alignment vertical="top" wrapText="1"/>
    </xf>
    <xf numFmtId="0" fontId="30" fillId="0" borderId="0" xfId="0" applyFont="1" applyAlignment="1">
      <alignment horizontal="left" vertical="top" wrapText="1"/>
    </xf>
    <xf numFmtId="0" fontId="31" fillId="0" borderId="0" xfId="0" applyFont="1"/>
    <xf numFmtId="0" fontId="32" fillId="0" borderId="0" xfId="0" applyFo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2</xdr:col>
          <xdr:colOff>180975</xdr:colOff>
          <xdr:row>1</xdr:row>
          <xdr:rowOff>219075</xdr:rowOff>
        </xdr:to>
        <xdr:sp macro="" textlink="">
          <xdr:nvSpPr>
            <xdr:cNvPr id="3073" name="FILTER"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2</xdr:col>
          <xdr:colOff>180975</xdr:colOff>
          <xdr:row>1</xdr:row>
          <xdr:rowOff>219075</xdr:rowOff>
        </xdr:to>
        <xdr:sp macro="" textlink="">
          <xdr:nvSpPr>
            <xdr:cNvPr id="3074" name="HEADER"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xdr:row>
      <xdr:rowOff>0</xdr:rowOff>
    </xdr:from>
    <xdr:to>
      <xdr:col>0</xdr:col>
      <xdr:colOff>63500</xdr:colOff>
      <xdr:row>1</xdr:row>
      <xdr:rowOff>102592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032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X0AO</a:t>
          </a:r>
        </a:p>
      </xdr:txBody>
    </xdr:sp>
    <xdr:clientData/>
  </xdr:twoCellAnchor>
  <xdr:twoCellAnchor>
    <xdr:from>
      <xdr:col>0</xdr:col>
      <xdr:colOff>0</xdr:colOff>
      <xdr:row>1</xdr:row>
      <xdr:rowOff>0</xdr:rowOff>
    </xdr:from>
    <xdr:to>
      <xdr:col>0</xdr:col>
      <xdr:colOff>63500</xdr:colOff>
      <xdr:row>1</xdr:row>
      <xdr:rowOff>102592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2032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X0AO</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4</xdr:col>
          <xdr:colOff>133350</xdr:colOff>
          <xdr:row>3</xdr:row>
          <xdr:rowOff>19050</xdr:rowOff>
        </xdr:to>
        <xdr:sp macro="" textlink="">
          <xdr:nvSpPr>
            <xdr:cNvPr id="1025" name="FILTER"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4</xdr:col>
          <xdr:colOff>133350</xdr:colOff>
          <xdr:row>3</xdr:row>
          <xdr:rowOff>19050</xdr:rowOff>
        </xdr:to>
        <xdr:sp macro="" textlink="">
          <xdr:nvSpPr>
            <xdr:cNvPr id="1026" name="HEADER"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E2550-413A-4C75-89D0-CF81328250DB}">
  <sheetPr codeName="Sheet19">
    <pageSetUpPr fitToPage="1"/>
  </sheetPr>
  <dimension ref="A1:R164"/>
  <sheetViews>
    <sheetView showGridLines="0" tabSelected="1" showRuler="0" showWhiteSpace="0" zoomScale="114" zoomScaleNormal="115" zoomScalePageLayoutView="124" workbookViewId="0">
      <selection activeCell="K143" sqref="K143:K164"/>
    </sheetView>
  </sheetViews>
  <sheetFormatPr defaultColWidth="8.7109375" defaultRowHeight="17.25" outlineLevelRow="4" x14ac:dyDescent="0.3"/>
  <cols>
    <col min="1" max="1" width="7.85546875" style="205" customWidth="1"/>
    <col min="2" max="5" width="2.7109375" style="205" customWidth="1"/>
    <col min="6" max="6" width="35" style="205" customWidth="1"/>
    <col min="7" max="7" width="12.140625" style="4" customWidth="1"/>
    <col min="8" max="8" width="13.42578125" style="4" customWidth="1"/>
    <col min="9" max="9" width="12.85546875" style="4" customWidth="1"/>
    <col min="10" max="10" width="2.42578125" style="4" customWidth="1"/>
    <col min="11" max="11" width="63.28515625" style="329" customWidth="1"/>
    <col min="12" max="12" width="3.140625" style="4" customWidth="1"/>
    <col min="13" max="14" width="12.140625" style="4" customWidth="1"/>
    <col min="15" max="15" width="13.5703125" style="4" customWidth="1"/>
    <col min="16" max="17" width="12.85546875" style="4" customWidth="1"/>
    <col min="18" max="18" width="8.7109375" style="4" hidden="1" customWidth="1"/>
    <col min="19" max="19" width="80.85546875" style="4" bestFit="1" customWidth="1"/>
    <col min="20" max="16384" width="8.7109375" style="4"/>
  </cols>
  <sheetData>
    <row r="1" spans="1:11" ht="18" thickBot="1" x14ac:dyDescent="0.35"/>
    <row r="2" spans="1:11" s="209" customFormat="1" ht="49.5" customHeight="1" thickBot="1" x14ac:dyDescent="0.3">
      <c r="A2" s="206"/>
      <c r="B2" s="318" t="s">
        <v>185</v>
      </c>
      <c r="C2" s="319"/>
      <c r="D2" s="319"/>
      <c r="E2" s="319"/>
      <c r="F2" s="319"/>
      <c r="G2" s="207" t="s">
        <v>159</v>
      </c>
      <c r="H2" s="207" t="s">
        <v>160</v>
      </c>
      <c r="I2" s="208" t="s">
        <v>158</v>
      </c>
      <c r="K2" s="330" t="s">
        <v>188</v>
      </c>
    </row>
    <row r="3" spans="1:11" outlineLevel="1" x14ac:dyDescent="0.3">
      <c r="A3" s="210"/>
      <c r="B3" s="211" t="s">
        <v>176</v>
      </c>
      <c r="C3" s="212"/>
      <c r="D3" s="213"/>
      <c r="E3" s="213"/>
      <c r="F3" s="213"/>
      <c r="G3" s="214">
        <v>1896</v>
      </c>
      <c r="H3" s="214">
        <v>2989.16</v>
      </c>
      <c r="I3" s="215">
        <f>H72</f>
        <v>3728.7333299999882</v>
      </c>
    </row>
    <row r="4" spans="1:11" ht="15.6" hidden="1" customHeight="1" outlineLevel="4" x14ac:dyDescent="0.25">
      <c r="A4" s="210"/>
      <c r="B4" s="216"/>
      <c r="C4" s="210"/>
      <c r="D4" s="210"/>
      <c r="E4" s="204" t="s">
        <v>5</v>
      </c>
      <c r="F4" s="210"/>
      <c r="G4" s="217"/>
      <c r="H4" s="217"/>
      <c r="I4" s="218"/>
      <c r="K4" s="331"/>
    </row>
    <row r="5" spans="1:11" ht="15.6" hidden="1" customHeight="1" outlineLevel="4" x14ac:dyDescent="0.25">
      <c r="A5" s="210"/>
      <c r="B5" s="216"/>
      <c r="C5" s="210"/>
      <c r="D5" s="210"/>
      <c r="E5" s="210"/>
      <c r="F5" s="204" t="s">
        <v>6</v>
      </c>
      <c r="G5" s="217">
        <v>190000</v>
      </c>
      <c r="H5" s="217">
        <f>146184/0.75</f>
        <v>194912</v>
      </c>
      <c r="I5" s="219">
        <v>211000</v>
      </c>
      <c r="K5" s="331"/>
    </row>
    <row r="6" spans="1:11" ht="15.6" hidden="1" customHeight="1" outlineLevel="4" x14ac:dyDescent="0.25">
      <c r="A6" s="210"/>
      <c r="B6" s="216"/>
      <c r="C6" s="210"/>
      <c r="D6" s="210"/>
      <c r="E6" s="210"/>
      <c r="F6" s="204" t="s">
        <v>7</v>
      </c>
      <c r="G6" s="220">
        <v>0</v>
      </c>
      <c r="H6" s="220">
        <f>660/0.75</f>
        <v>880</v>
      </c>
      <c r="I6" s="219">
        <v>1000</v>
      </c>
      <c r="K6" s="331"/>
    </row>
    <row r="7" spans="1:11" ht="15" outlineLevel="3" collapsed="1" x14ac:dyDescent="0.25">
      <c r="A7" s="210"/>
      <c r="B7" s="216"/>
      <c r="C7" s="210"/>
      <c r="D7" s="204" t="s">
        <v>5</v>
      </c>
      <c r="E7" s="4"/>
      <c r="F7" s="210"/>
      <c r="G7" s="217">
        <f>ROUND(SUM(G4:G6),5)</f>
        <v>190000</v>
      </c>
      <c r="H7" s="217">
        <f>ROUND(SUM(H4:H6),5)</f>
        <v>195792</v>
      </c>
      <c r="I7" s="218">
        <f>ROUND(SUM(I4:I6),5)</f>
        <v>212000</v>
      </c>
      <c r="K7" s="332" t="s">
        <v>189</v>
      </c>
    </row>
    <row r="8" spans="1:11" ht="15" outlineLevel="3" x14ac:dyDescent="0.25">
      <c r="A8" s="210"/>
      <c r="B8" s="216"/>
      <c r="C8" s="210"/>
      <c r="D8" s="204" t="s">
        <v>9</v>
      </c>
      <c r="E8" s="4"/>
      <c r="F8" s="210"/>
      <c r="G8" s="217">
        <v>91000</v>
      </c>
      <c r="H8" s="217">
        <f>72310+(650000*0.03)</f>
        <v>91810</v>
      </c>
      <c r="I8" s="218">
        <v>87000</v>
      </c>
      <c r="K8" s="332"/>
    </row>
    <row r="9" spans="1:11" ht="15.6" hidden="1" customHeight="1" outlineLevel="4" x14ac:dyDescent="0.25">
      <c r="A9" s="210"/>
      <c r="B9" s="216"/>
      <c r="C9" s="210"/>
      <c r="D9" s="210"/>
      <c r="E9" s="204" t="s">
        <v>14</v>
      </c>
      <c r="F9" s="210"/>
      <c r="G9" s="217"/>
      <c r="H9" s="217"/>
      <c r="I9" s="218"/>
      <c r="K9" s="332"/>
    </row>
    <row r="10" spans="1:11" ht="15.6" hidden="1" customHeight="1" outlineLevel="4" x14ac:dyDescent="0.25">
      <c r="A10" s="210"/>
      <c r="B10" s="216"/>
      <c r="C10" s="210"/>
      <c r="D10" s="210"/>
      <c r="E10" s="210"/>
      <c r="F10" s="204" t="s">
        <v>15</v>
      </c>
      <c r="G10" s="217"/>
      <c r="H10" s="217">
        <f>-439.7-600</f>
        <v>-1039.7</v>
      </c>
      <c r="I10" s="219"/>
      <c r="K10" s="332"/>
    </row>
    <row r="11" spans="1:11" ht="15.6" hidden="1" customHeight="1" outlineLevel="4" x14ac:dyDescent="0.25">
      <c r="A11" s="210"/>
      <c r="B11" s="216"/>
      <c r="C11" s="210"/>
      <c r="D11" s="210"/>
      <c r="E11" s="210"/>
      <c r="F11" s="204" t="s">
        <v>16</v>
      </c>
      <c r="G11" s="217"/>
      <c r="H11" s="217">
        <f>-24.42-175</f>
        <v>-199.42000000000002</v>
      </c>
      <c r="I11" s="219"/>
      <c r="K11" s="332"/>
    </row>
    <row r="12" spans="1:11" ht="15.6" hidden="1" customHeight="1" outlineLevel="4" x14ac:dyDescent="0.25">
      <c r="A12" s="210"/>
      <c r="B12" s="216"/>
      <c r="C12" s="210"/>
      <c r="D12" s="210"/>
      <c r="E12" s="210"/>
      <c r="F12" s="204" t="s">
        <v>17</v>
      </c>
      <c r="G12" s="217">
        <v>-3000</v>
      </c>
      <c r="H12" s="217">
        <f>-334/0.75</f>
        <v>-445.33333333333331</v>
      </c>
      <c r="I12" s="219">
        <v>-1000</v>
      </c>
      <c r="K12" s="332"/>
    </row>
    <row r="13" spans="1:11" ht="15.6" hidden="1" customHeight="1" outlineLevel="4" x14ac:dyDescent="0.25">
      <c r="A13" s="210"/>
      <c r="B13" s="216"/>
      <c r="C13" s="210"/>
      <c r="D13" s="210"/>
      <c r="E13" s="210"/>
      <c r="F13" s="204" t="s">
        <v>18</v>
      </c>
      <c r="G13" s="217">
        <v>0</v>
      </c>
      <c r="H13" s="217">
        <f>-606.38-400</f>
        <v>-1006.38</v>
      </c>
      <c r="I13" s="219"/>
      <c r="K13" s="332"/>
    </row>
    <row r="14" spans="1:11" ht="15.6" hidden="1" customHeight="1" outlineLevel="4" x14ac:dyDescent="0.25">
      <c r="A14" s="210"/>
      <c r="B14" s="216"/>
      <c r="C14" s="210"/>
      <c r="D14" s="210"/>
      <c r="E14" s="210"/>
      <c r="F14" s="204" t="s">
        <v>19</v>
      </c>
      <c r="G14" s="217">
        <v>0</v>
      </c>
      <c r="H14" s="217">
        <f>1892/0.75</f>
        <v>2522.6666666666665</v>
      </c>
      <c r="I14" s="219"/>
      <c r="K14" s="332"/>
    </row>
    <row r="15" spans="1:11" ht="15.6" hidden="1" customHeight="1" outlineLevel="4" x14ac:dyDescent="0.25">
      <c r="A15" s="210"/>
      <c r="B15" s="216"/>
      <c r="C15" s="210"/>
      <c r="D15" s="210"/>
      <c r="E15" s="210"/>
      <c r="F15" s="204" t="s">
        <v>20</v>
      </c>
      <c r="G15" s="220">
        <v>0</v>
      </c>
      <c r="H15" s="220">
        <v>0</v>
      </c>
      <c r="I15" s="219"/>
      <c r="K15" s="332"/>
    </row>
    <row r="16" spans="1:11" ht="15" outlineLevel="3" collapsed="1" x14ac:dyDescent="0.25">
      <c r="A16" s="210"/>
      <c r="B16" s="216"/>
      <c r="C16" s="210"/>
      <c r="D16" s="204" t="s">
        <v>179</v>
      </c>
      <c r="E16" s="4"/>
      <c r="F16" s="210"/>
      <c r="G16" s="217">
        <f>ROUND(SUM(G9:G15),5)</f>
        <v>-3000</v>
      </c>
      <c r="H16" s="217">
        <f>ROUND(SUM(H9:H15),5)</f>
        <v>-168.16667000000001</v>
      </c>
      <c r="I16" s="218">
        <f>ROUND(SUM(I9:I15),5)</f>
        <v>-1000</v>
      </c>
      <c r="K16" s="332"/>
    </row>
    <row r="17" spans="1:11" ht="15" outlineLevel="3" x14ac:dyDescent="0.25">
      <c r="A17" s="210"/>
      <c r="B17" s="221"/>
      <c r="C17" s="222"/>
      <c r="D17" s="223" t="s">
        <v>22</v>
      </c>
      <c r="E17" s="224"/>
      <c r="F17" s="222"/>
      <c r="G17" s="220">
        <v>13500</v>
      </c>
      <c r="H17" s="220">
        <f>7495.34+(6*1000)</f>
        <v>13495.34</v>
      </c>
      <c r="I17" s="225">
        <f>0.048*(I7+I8)</f>
        <v>14352</v>
      </c>
      <c r="K17" s="332"/>
    </row>
    <row r="18" spans="1:11" ht="15" outlineLevel="2" x14ac:dyDescent="0.25">
      <c r="A18" s="204"/>
      <c r="B18" s="226"/>
      <c r="C18" s="204"/>
      <c r="D18" s="204" t="s">
        <v>23</v>
      </c>
      <c r="E18" s="204"/>
      <c r="F18" s="204"/>
      <c r="G18" s="217">
        <f>ROUND(SUM(G7:G8)+SUM(G16:G17),5)</f>
        <v>291500</v>
      </c>
      <c r="H18" s="217">
        <f>ROUND(SUM(H7:H8)+SUM(H16:H17),5)</f>
        <v>300929.17333000002</v>
      </c>
      <c r="I18" s="218">
        <f>ROUND(SUM(I7:I8)+SUM(I16:I17),5)</f>
        <v>312352</v>
      </c>
      <c r="K18" s="332"/>
    </row>
    <row r="19" spans="1:11" s="147" customFormat="1" ht="15.6" hidden="1" customHeight="1" outlineLevel="3" x14ac:dyDescent="0.25">
      <c r="A19" s="210"/>
      <c r="B19" s="216"/>
      <c r="C19" s="210"/>
      <c r="D19" s="210"/>
      <c r="E19" s="204" t="s">
        <v>31</v>
      </c>
      <c r="F19" s="210"/>
      <c r="G19" s="217">
        <v>0</v>
      </c>
      <c r="H19" s="217">
        <f>155+130</f>
        <v>285</v>
      </c>
      <c r="I19" s="219">
        <v>150</v>
      </c>
      <c r="K19" s="332"/>
    </row>
    <row r="20" spans="1:11" ht="15.6" hidden="1" customHeight="1" outlineLevel="3" x14ac:dyDescent="0.25">
      <c r="A20" s="210"/>
      <c r="B20" s="216"/>
      <c r="C20" s="210"/>
      <c r="D20" s="210"/>
      <c r="E20" s="204" t="s">
        <v>32</v>
      </c>
      <c r="F20" s="210"/>
      <c r="G20" s="217">
        <v>500</v>
      </c>
      <c r="H20" s="217">
        <f>66*2</f>
        <v>132</v>
      </c>
      <c r="I20" s="219">
        <v>150</v>
      </c>
      <c r="K20" s="332"/>
    </row>
    <row r="21" spans="1:11" ht="15" outlineLevel="2" collapsed="1" x14ac:dyDescent="0.25">
      <c r="A21" s="210"/>
      <c r="B21" s="221"/>
      <c r="C21" s="222"/>
      <c r="D21" s="223" t="s">
        <v>30</v>
      </c>
      <c r="E21" s="222"/>
      <c r="F21" s="222"/>
      <c r="G21" s="220">
        <f>ROUND(SUM(G19:G20),5)</f>
        <v>500</v>
      </c>
      <c r="H21" s="220">
        <f>ROUND(SUM(H19:H20),5)</f>
        <v>417</v>
      </c>
      <c r="I21" s="225">
        <f>ROUND(SUM(I19:I20),5)</f>
        <v>300</v>
      </c>
      <c r="K21" s="332"/>
    </row>
    <row r="22" spans="1:11" ht="15" outlineLevel="1" x14ac:dyDescent="0.25">
      <c r="A22" s="210"/>
      <c r="B22" s="216"/>
      <c r="C22" s="204" t="s">
        <v>34</v>
      </c>
      <c r="D22" s="210"/>
      <c r="E22" s="210"/>
      <c r="F22" s="210"/>
      <c r="G22" s="217">
        <f>ROUND(G18+G21,5)</f>
        <v>292000</v>
      </c>
      <c r="H22" s="217">
        <f>ROUND(H18+H21,5)</f>
        <v>301346.17333000002</v>
      </c>
      <c r="I22" s="218">
        <f>ROUND(I18+I21,5)</f>
        <v>312652</v>
      </c>
      <c r="K22" s="332"/>
    </row>
    <row r="23" spans="1:11" ht="15.6" hidden="1" customHeight="1" outlineLevel="2" x14ac:dyDescent="0.25">
      <c r="A23" s="210"/>
      <c r="B23" s="216"/>
      <c r="C23" s="210"/>
      <c r="D23" s="204" t="s">
        <v>37</v>
      </c>
      <c r="E23" s="210"/>
      <c r="F23" s="210"/>
      <c r="G23" s="217">
        <v>-40000</v>
      </c>
      <c r="H23" s="227">
        <f>-40000-10000-10000</f>
        <v>-60000</v>
      </c>
      <c r="I23" s="219">
        <v>-60000</v>
      </c>
      <c r="K23" s="332"/>
    </row>
    <row r="24" spans="1:11" ht="15" outlineLevel="1" collapsed="1" x14ac:dyDescent="0.25">
      <c r="A24" s="204"/>
      <c r="B24" s="228"/>
      <c r="C24" s="223" t="s">
        <v>161</v>
      </c>
      <c r="D24" s="223"/>
      <c r="E24" s="223"/>
      <c r="F24" s="223"/>
      <c r="G24" s="220">
        <f>ROUND(SUM(G23:G23),5)</f>
        <v>-40000</v>
      </c>
      <c r="H24" s="220">
        <f>ROUND(SUM(H23:H23),5)</f>
        <v>-60000</v>
      </c>
      <c r="I24" s="225">
        <f>ROUND(SUM(I23:I23),5)</f>
        <v>-60000</v>
      </c>
      <c r="K24" s="332"/>
    </row>
    <row r="25" spans="1:11" ht="15" x14ac:dyDescent="0.25">
      <c r="A25" s="204"/>
      <c r="B25" s="229"/>
      <c r="C25" s="230" t="s">
        <v>181</v>
      </c>
      <c r="D25" s="204"/>
      <c r="E25" s="204"/>
      <c r="F25" s="204"/>
      <c r="G25" s="217">
        <f>ROUND(SUM(G3:G3)+G22+G24,5)</f>
        <v>253896</v>
      </c>
      <c r="H25" s="217">
        <f>ROUND(SUM(H3:H3)+H22+H24,5)</f>
        <v>244335.33332999999</v>
      </c>
      <c r="I25" s="218">
        <f>ROUND(SUM(I3:I3)+I22+I24,5)</f>
        <v>256380.73332999999</v>
      </c>
      <c r="K25" s="332"/>
    </row>
    <row r="26" spans="1:11" ht="15" outlineLevel="1" x14ac:dyDescent="0.25">
      <c r="A26" s="210"/>
      <c r="B26" s="229"/>
      <c r="C26" s="204" t="s">
        <v>41</v>
      </c>
      <c r="D26" s="204"/>
      <c r="E26" s="204"/>
      <c r="F26" s="204"/>
      <c r="G26" s="217"/>
      <c r="H26" s="217"/>
      <c r="I26" s="218"/>
      <c r="K26" s="332"/>
    </row>
    <row r="27" spans="1:11" ht="15.6" hidden="1" customHeight="1" outlineLevel="2" x14ac:dyDescent="0.25">
      <c r="A27" s="210"/>
      <c r="B27" s="226"/>
      <c r="C27" s="204" t="s">
        <v>42</v>
      </c>
      <c r="D27" s="204"/>
      <c r="E27" s="204"/>
      <c r="F27" s="204"/>
      <c r="G27" s="217"/>
      <c r="H27" s="217"/>
      <c r="I27" s="218"/>
      <c r="K27" s="332"/>
    </row>
    <row r="28" spans="1:11" ht="15.6" hidden="1" customHeight="1" outlineLevel="2" x14ac:dyDescent="0.25">
      <c r="A28" s="210"/>
      <c r="B28" s="226"/>
      <c r="C28" s="204"/>
      <c r="D28" s="204" t="s">
        <v>43</v>
      </c>
      <c r="E28" s="204"/>
      <c r="F28" s="204"/>
      <c r="G28" s="217">
        <v>400</v>
      </c>
      <c r="H28" s="217">
        <v>600</v>
      </c>
      <c r="I28" s="219">
        <v>1000</v>
      </c>
      <c r="K28" s="332"/>
    </row>
    <row r="29" spans="1:11" ht="15.6" hidden="1" customHeight="1" outlineLevel="2" x14ac:dyDescent="0.25">
      <c r="A29" s="210"/>
      <c r="B29" s="226"/>
      <c r="C29" s="204"/>
      <c r="D29" s="204" t="s">
        <v>44</v>
      </c>
      <c r="E29" s="204"/>
      <c r="F29" s="204"/>
      <c r="G29" s="217">
        <v>118578</v>
      </c>
      <c r="H29" s="217">
        <v>118000</v>
      </c>
      <c r="I29" s="219">
        <f>H29*1.075</f>
        <v>126850</v>
      </c>
      <c r="K29" s="332"/>
    </row>
    <row r="30" spans="1:11" ht="15.95" hidden="1" customHeight="1" outlineLevel="2" x14ac:dyDescent="0.25">
      <c r="A30" s="210"/>
      <c r="B30" s="226"/>
      <c r="C30" s="204"/>
      <c r="D30" s="204" t="s">
        <v>45</v>
      </c>
      <c r="E30" s="204"/>
      <c r="F30" s="204"/>
      <c r="G30" s="217">
        <v>13000</v>
      </c>
      <c r="H30" s="217">
        <v>12000</v>
      </c>
      <c r="I30" s="231">
        <f>I29*(H30/H29)</f>
        <v>12900</v>
      </c>
      <c r="K30" s="332"/>
    </row>
    <row r="31" spans="1:11" ht="16.5" hidden="1" customHeight="1" outlineLevel="2" x14ac:dyDescent="0.25">
      <c r="A31" s="210"/>
      <c r="B31" s="232"/>
      <c r="C31" s="233"/>
      <c r="D31" s="233" t="s">
        <v>46</v>
      </c>
      <c r="E31" s="233"/>
      <c r="F31" s="233"/>
      <c r="G31" s="234">
        <v>900</v>
      </c>
      <c r="H31" s="234">
        <v>0</v>
      </c>
      <c r="I31" s="235">
        <v>0</v>
      </c>
      <c r="K31" s="332"/>
    </row>
    <row r="32" spans="1:11" s="147" customFormat="1" ht="15" outlineLevel="1" collapsed="1" x14ac:dyDescent="0.25">
      <c r="A32" s="210"/>
      <c r="B32" s="226"/>
      <c r="D32" s="204" t="s">
        <v>186</v>
      </c>
      <c r="E32" s="204"/>
      <c r="F32" s="204"/>
      <c r="G32" s="217">
        <f>ROUND(SUM(G27:G31),5)</f>
        <v>132878</v>
      </c>
      <c r="H32" s="217">
        <f>ROUND(SUM(H27:H31),5)</f>
        <v>130600</v>
      </c>
      <c r="I32" s="218">
        <f>ROUND(SUM(I27:I31),5)</f>
        <v>140750</v>
      </c>
      <c r="J32" s="236"/>
      <c r="K32" s="332"/>
    </row>
    <row r="33" spans="1:11" ht="15.6" hidden="1" customHeight="1" outlineLevel="2" x14ac:dyDescent="0.25">
      <c r="A33" s="210"/>
      <c r="B33" s="226"/>
      <c r="C33" s="204" t="s">
        <v>48</v>
      </c>
      <c r="D33" s="204"/>
      <c r="E33" s="204"/>
      <c r="F33" s="204"/>
      <c r="G33" s="217"/>
      <c r="H33" s="217"/>
      <c r="I33" s="218"/>
      <c r="K33" s="332"/>
    </row>
    <row r="34" spans="1:11" s="147" customFormat="1" ht="15.6" hidden="1" customHeight="1" outlineLevel="3" x14ac:dyDescent="0.25">
      <c r="A34" s="210"/>
      <c r="B34" s="226"/>
      <c r="C34" s="204"/>
      <c r="D34" s="204" t="s">
        <v>49</v>
      </c>
      <c r="E34" s="204"/>
      <c r="F34" s="204"/>
      <c r="G34" s="217"/>
      <c r="H34" s="217"/>
      <c r="I34" s="218"/>
      <c r="K34" s="332"/>
    </row>
    <row r="35" spans="1:11" ht="15.6" hidden="1" customHeight="1" outlineLevel="4" x14ac:dyDescent="0.25">
      <c r="A35" s="210"/>
      <c r="B35" s="226"/>
      <c r="C35" s="204"/>
      <c r="D35" s="204"/>
      <c r="E35" s="204"/>
      <c r="F35" s="204" t="s">
        <v>50</v>
      </c>
      <c r="G35" s="217">
        <v>4000</v>
      </c>
      <c r="H35" s="217">
        <f>2268.45+1800</f>
        <v>4068.45</v>
      </c>
      <c r="I35" s="237">
        <f>2000+2500</f>
        <v>4500</v>
      </c>
      <c r="K35" s="332"/>
    </row>
    <row r="36" spans="1:11" ht="15.6" hidden="1" customHeight="1" outlineLevel="4" x14ac:dyDescent="0.25">
      <c r="A36" s="210"/>
      <c r="B36" s="226"/>
      <c r="C36" s="204"/>
      <c r="D36" s="204"/>
      <c r="E36" s="204"/>
      <c r="F36" s="204" t="s">
        <v>51</v>
      </c>
      <c r="G36" s="220">
        <v>4500</v>
      </c>
      <c r="H36" s="220">
        <f>2247.71*2</f>
        <v>4495.42</v>
      </c>
      <c r="I36" s="219">
        <f>5000</f>
        <v>5000</v>
      </c>
      <c r="K36" s="332"/>
    </row>
    <row r="37" spans="1:11" ht="15.6" hidden="1" customHeight="1" outlineLevel="3" collapsed="1" x14ac:dyDescent="0.25">
      <c r="A37" s="210"/>
      <c r="B37" s="226"/>
      <c r="C37" s="204"/>
      <c r="D37" s="204"/>
      <c r="E37" s="204" t="s">
        <v>52</v>
      </c>
      <c r="F37" s="204"/>
      <c r="G37" s="217">
        <f>ROUND(SUM(G35:G36),5)</f>
        <v>8500</v>
      </c>
      <c r="H37" s="217">
        <f>ROUND(SUM(H35:H36),5)</f>
        <v>8563.8700000000008</v>
      </c>
      <c r="I37" s="218">
        <f>ROUND(SUM(I35:I36),5)</f>
        <v>9500</v>
      </c>
      <c r="K37" s="332"/>
    </row>
    <row r="38" spans="1:11" ht="15.6" hidden="1" customHeight="1" outlineLevel="3" x14ac:dyDescent="0.25">
      <c r="A38" s="210"/>
      <c r="B38" s="226"/>
      <c r="C38" s="204"/>
      <c r="D38" s="204"/>
      <c r="E38" s="204" t="s">
        <v>53</v>
      </c>
      <c r="F38" s="204"/>
      <c r="G38" s="217">
        <v>1500</v>
      </c>
      <c r="H38" s="217">
        <f>1134/0.75</f>
        <v>1512</v>
      </c>
      <c r="I38" s="219">
        <v>1700</v>
      </c>
      <c r="K38" s="332"/>
    </row>
    <row r="39" spans="1:11" ht="15.6" hidden="1" customHeight="1" outlineLevel="3" x14ac:dyDescent="0.25">
      <c r="A39" s="210"/>
      <c r="B39" s="226"/>
      <c r="C39" s="204"/>
      <c r="D39" s="204"/>
      <c r="E39" s="204" t="s">
        <v>54</v>
      </c>
      <c r="F39" s="204"/>
      <c r="G39" s="217">
        <v>4000</v>
      </c>
      <c r="H39" s="217">
        <v>3900</v>
      </c>
      <c r="I39" s="219">
        <f>4100-600</f>
        <v>3500</v>
      </c>
      <c r="K39" s="332"/>
    </row>
    <row r="40" spans="1:11" ht="15.6" hidden="1" customHeight="1" outlineLevel="3" x14ac:dyDescent="0.25">
      <c r="A40" s="210"/>
      <c r="B40" s="226"/>
      <c r="C40" s="204"/>
      <c r="D40" s="204"/>
      <c r="E40" s="204" t="s">
        <v>55</v>
      </c>
      <c r="F40" s="238"/>
      <c r="G40" s="217">
        <v>200</v>
      </c>
      <c r="H40" s="217">
        <v>0</v>
      </c>
      <c r="I40" s="239">
        <v>100</v>
      </c>
      <c r="K40" s="332"/>
    </row>
    <row r="41" spans="1:11" ht="15.6" hidden="1" customHeight="1" outlineLevel="2" collapsed="1" x14ac:dyDescent="0.25">
      <c r="A41" s="210"/>
      <c r="B41" s="226"/>
      <c r="C41" s="204"/>
      <c r="D41" s="204" t="s">
        <v>56</v>
      </c>
      <c r="E41" s="204"/>
      <c r="F41" s="204"/>
      <c r="G41" s="217">
        <f t="shared" ref="G41" si="0">SUM(G37:G40)</f>
        <v>14200</v>
      </c>
      <c r="H41" s="217">
        <f t="shared" ref="H41:I41" si="1">SUM(H37:H40)</f>
        <v>13975.87</v>
      </c>
      <c r="I41" s="218">
        <f t="shared" si="1"/>
        <v>14800</v>
      </c>
      <c r="K41" s="332"/>
    </row>
    <row r="42" spans="1:11" ht="15.6" hidden="1" customHeight="1" outlineLevel="3" x14ac:dyDescent="0.25">
      <c r="A42" s="210"/>
      <c r="B42" s="226"/>
      <c r="C42" s="204"/>
      <c r="D42" s="204"/>
      <c r="E42" s="204" t="s">
        <v>57</v>
      </c>
      <c r="F42" s="204"/>
      <c r="G42" s="217">
        <v>500</v>
      </c>
      <c r="H42" s="217">
        <v>0</v>
      </c>
      <c r="I42" s="219">
        <v>500</v>
      </c>
      <c r="K42" s="332"/>
    </row>
    <row r="43" spans="1:11" ht="15.6" hidden="1" customHeight="1" outlineLevel="3" x14ac:dyDescent="0.25">
      <c r="A43" s="210"/>
      <c r="B43" s="226"/>
      <c r="C43" s="204"/>
      <c r="D43" s="204"/>
      <c r="E43" s="204" t="s">
        <v>58</v>
      </c>
      <c r="F43" s="204"/>
      <c r="G43" s="217">
        <v>2000</v>
      </c>
      <c r="H43" s="217">
        <v>1995</v>
      </c>
      <c r="I43" s="219">
        <v>3000</v>
      </c>
      <c r="K43" s="332"/>
    </row>
    <row r="44" spans="1:11" s="147" customFormat="1" ht="15.6" hidden="1" customHeight="1" outlineLevel="3" x14ac:dyDescent="0.25">
      <c r="A44" s="210"/>
      <c r="B44" s="226"/>
      <c r="C44" s="204"/>
      <c r="D44" s="204"/>
      <c r="E44" s="204" t="s">
        <v>59</v>
      </c>
      <c r="F44" s="204"/>
      <c r="G44" s="220">
        <v>400</v>
      </c>
      <c r="H44" s="220">
        <v>350</v>
      </c>
      <c r="I44" s="219">
        <v>400</v>
      </c>
      <c r="K44" s="332"/>
    </row>
    <row r="45" spans="1:11" ht="15.6" hidden="1" customHeight="1" outlineLevel="2" collapsed="1" x14ac:dyDescent="0.25">
      <c r="A45" s="210"/>
      <c r="B45" s="226"/>
      <c r="C45" s="204"/>
      <c r="D45" s="204" t="s">
        <v>60</v>
      </c>
      <c r="E45" s="204"/>
      <c r="F45" s="204"/>
      <c r="G45" s="217">
        <f>ROUND(SUM(G42:G44),5)</f>
        <v>2900</v>
      </c>
      <c r="H45" s="217">
        <f>ROUND(SUM(H42:H44),5)</f>
        <v>2345</v>
      </c>
      <c r="I45" s="218">
        <f>ROUND(SUM(I42:I44),5)</f>
        <v>3900</v>
      </c>
      <c r="K45" s="332"/>
    </row>
    <row r="46" spans="1:11" ht="15.95" hidden="1" customHeight="1" outlineLevel="2" x14ac:dyDescent="0.25">
      <c r="A46" s="210"/>
      <c r="B46" s="232"/>
      <c r="C46" s="233"/>
      <c r="D46" s="233" t="s">
        <v>61</v>
      </c>
      <c r="E46" s="233"/>
      <c r="F46" s="233"/>
      <c r="G46" s="234">
        <v>16000</v>
      </c>
      <c r="H46" s="234">
        <v>18084</v>
      </c>
      <c r="I46" s="240">
        <v>23000</v>
      </c>
      <c r="K46" s="332"/>
    </row>
    <row r="47" spans="1:11" ht="15" outlineLevel="1" collapsed="1" x14ac:dyDescent="0.25">
      <c r="A47" s="210"/>
      <c r="B47" s="226"/>
      <c r="C47" s="4"/>
      <c r="D47" s="204" t="s">
        <v>48</v>
      </c>
      <c r="E47" s="204"/>
      <c r="F47" s="204"/>
      <c r="G47" s="217">
        <f>ROUND(G33+G41+SUM(G45:G46),5)</f>
        <v>33100</v>
      </c>
      <c r="H47" s="217">
        <f>ROUND(H33+H41+SUM(H45:H46),5)</f>
        <v>34404.870000000003</v>
      </c>
      <c r="I47" s="218">
        <f>ROUND(I33+I41+SUM(I45:I46),5)</f>
        <v>41700</v>
      </c>
      <c r="K47" s="332"/>
    </row>
    <row r="48" spans="1:11" ht="15.6" hidden="1" customHeight="1" outlineLevel="2" x14ac:dyDescent="0.25">
      <c r="A48" s="210"/>
      <c r="B48" s="226"/>
      <c r="C48" s="204" t="s">
        <v>63</v>
      </c>
      <c r="D48" s="204"/>
      <c r="E48" s="204"/>
      <c r="F48" s="204"/>
      <c r="G48" s="217"/>
      <c r="H48" s="217"/>
      <c r="I48" s="218"/>
      <c r="K48" s="332"/>
    </row>
    <row r="49" spans="1:11" s="147" customFormat="1" ht="15.6" hidden="1" customHeight="1" outlineLevel="2" x14ac:dyDescent="0.25">
      <c r="A49" s="210"/>
      <c r="B49" s="226"/>
      <c r="C49" s="204"/>
      <c r="D49" s="204" t="s">
        <v>64</v>
      </c>
      <c r="E49" s="204"/>
      <c r="F49" s="204"/>
      <c r="G49" s="217">
        <v>1500</v>
      </c>
      <c r="H49" s="217">
        <v>1251</v>
      </c>
      <c r="I49" s="219">
        <v>500</v>
      </c>
      <c r="K49" s="332"/>
    </row>
    <row r="50" spans="1:11" ht="15.6" hidden="1" customHeight="1" outlineLevel="3" x14ac:dyDescent="0.25">
      <c r="A50" s="210"/>
      <c r="B50" s="226"/>
      <c r="C50" s="204"/>
      <c r="D50" s="204"/>
      <c r="E50" s="204" t="s">
        <v>65</v>
      </c>
      <c r="F50" s="204"/>
      <c r="G50" s="217">
        <v>4000</v>
      </c>
      <c r="H50" s="217">
        <f>1518.69+1000</f>
        <v>2518.69</v>
      </c>
      <c r="I50" s="219">
        <v>2500</v>
      </c>
      <c r="K50" s="332"/>
    </row>
    <row r="51" spans="1:11" ht="15.6" hidden="1" customHeight="1" outlineLevel="3" x14ac:dyDescent="0.25">
      <c r="A51" s="210"/>
      <c r="B51" s="228"/>
      <c r="C51" s="223"/>
      <c r="D51" s="223"/>
      <c r="E51" s="223" t="s">
        <v>66</v>
      </c>
      <c r="F51" s="223"/>
      <c r="G51" s="220">
        <v>5581</v>
      </c>
      <c r="H51" s="220">
        <f>2*2421.24</f>
        <v>4842.4799999999996</v>
      </c>
      <c r="I51" s="219">
        <v>3500</v>
      </c>
      <c r="K51" s="332"/>
    </row>
    <row r="52" spans="1:11" ht="15.6" hidden="1" customHeight="1" outlineLevel="2" collapsed="1" x14ac:dyDescent="0.25">
      <c r="A52" s="210"/>
      <c r="B52" s="226"/>
      <c r="C52" s="204"/>
      <c r="D52" s="204" t="s">
        <v>67</v>
      </c>
      <c r="E52" s="204"/>
      <c r="F52" s="204"/>
      <c r="G52" s="217">
        <f>ROUND(SUM(G50:G51),5)</f>
        <v>9581</v>
      </c>
      <c r="H52" s="217">
        <f>ROUND(SUM(H50:H51),5)</f>
        <v>7361.17</v>
      </c>
      <c r="I52" s="218">
        <f>ROUND(SUM(I50:I51),5)</f>
        <v>6000</v>
      </c>
      <c r="K52" s="332"/>
    </row>
    <row r="53" spans="1:11" ht="15.6" hidden="1" customHeight="1" outlineLevel="3" x14ac:dyDescent="0.25">
      <c r="A53" s="210"/>
      <c r="B53" s="226"/>
      <c r="C53" s="204"/>
      <c r="D53" s="204"/>
      <c r="E53" s="204" t="s">
        <v>68</v>
      </c>
      <c r="F53" s="204"/>
      <c r="G53" s="217">
        <v>14300</v>
      </c>
      <c r="H53" s="217">
        <f>11524+3*1050</f>
        <v>14674</v>
      </c>
      <c r="I53" s="219">
        <v>14300</v>
      </c>
      <c r="K53" s="332"/>
    </row>
    <row r="54" spans="1:11" ht="15.6" hidden="1" customHeight="1" outlineLevel="3" x14ac:dyDescent="0.25">
      <c r="A54" s="210"/>
      <c r="B54" s="226"/>
      <c r="C54" s="204"/>
      <c r="D54" s="204"/>
      <c r="E54" s="204" t="s">
        <v>69</v>
      </c>
      <c r="F54" s="204"/>
      <c r="G54" s="217">
        <v>1600</v>
      </c>
      <c r="H54" s="217">
        <f>2*726.77</f>
        <v>1453.54</v>
      </c>
      <c r="I54" s="219">
        <v>1600</v>
      </c>
      <c r="K54" s="332"/>
    </row>
    <row r="55" spans="1:11" ht="15.6" hidden="1" customHeight="1" outlineLevel="3" x14ac:dyDescent="0.25">
      <c r="A55" s="210"/>
      <c r="B55" s="228"/>
      <c r="C55" s="223"/>
      <c r="D55" s="223"/>
      <c r="E55" s="223" t="s">
        <v>70</v>
      </c>
      <c r="F55" s="223"/>
      <c r="G55" s="220">
        <v>170</v>
      </c>
      <c r="H55" s="220">
        <f>2*84</f>
        <v>168</v>
      </c>
      <c r="I55" s="219">
        <v>170</v>
      </c>
      <c r="K55" s="332"/>
    </row>
    <row r="56" spans="1:11" ht="15.6" hidden="1" customHeight="1" outlineLevel="2" collapsed="1" x14ac:dyDescent="0.25">
      <c r="A56" s="210"/>
      <c r="B56" s="226"/>
      <c r="C56" s="204"/>
      <c r="D56" s="204" t="s">
        <v>71</v>
      </c>
      <c r="E56" s="204"/>
      <c r="F56" s="204"/>
      <c r="G56" s="217">
        <f>ROUND(SUM(G53:G55),5)</f>
        <v>16070</v>
      </c>
      <c r="H56" s="217">
        <f>ROUND(SUM(H53:H55),5)</f>
        <v>16295.54</v>
      </c>
      <c r="I56" s="218">
        <f>ROUND(SUM(I53:I55),5)</f>
        <v>16070</v>
      </c>
      <c r="K56" s="332"/>
    </row>
    <row r="57" spans="1:11" ht="15.6" hidden="1" customHeight="1" outlineLevel="3" x14ac:dyDescent="0.25">
      <c r="A57" s="210"/>
      <c r="B57" s="226"/>
      <c r="C57" s="204"/>
      <c r="D57" s="204"/>
      <c r="E57" s="204" t="s">
        <v>72</v>
      </c>
      <c r="F57" s="204"/>
      <c r="G57" s="217">
        <v>500</v>
      </c>
      <c r="H57" s="217">
        <v>0</v>
      </c>
      <c r="I57" s="219">
        <v>1500</v>
      </c>
      <c r="K57" s="332"/>
    </row>
    <row r="58" spans="1:11" ht="15.6" hidden="1" customHeight="1" outlineLevel="3" x14ac:dyDescent="0.25">
      <c r="A58" s="210"/>
      <c r="B58" s="226"/>
      <c r="C58" s="204"/>
      <c r="D58" s="204"/>
      <c r="E58" s="204" t="s">
        <v>73</v>
      </c>
      <c r="F58" s="204"/>
      <c r="G58" s="217">
        <v>2000</v>
      </c>
      <c r="H58" s="217">
        <f>2*1077.13</f>
        <v>2154.2600000000002</v>
      </c>
      <c r="I58" s="219">
        <v>1500</v>
      </c>
      <c r="K58" s="332"/>
    </row>
    <row r="59" spans="1:11" ht="15.6" hidden="1" customHeight="1" outlineLevel="3" x14ac:dyDescent="0.25">
      <c r="A59" s="210"/>
      <c r="B59" s="228"/>
      <c r="C59" s="223"/>
      <c r="D59" s="223"/>
      <c r="E59" s="223" t="s">
        <v>74</v>
      </c>
      <c r="F59" s="223"/>
      <c r="G59" s="220">
        <v>15000</v>
      </c>
      <c r="H59" s="220">
        <f>16722+5000</f>
        <v>21722</v>
      </c>
      <c r="I59" s="219">
        <v>15000</v>
      </c>
      <c r="K59" s="332"/>
    </row>
    <row r="60" spans="1:11" ht="15.6" hidden="1" customHeight="1" outlineLevel="2" collapsed="1" x14ac:dyDescent="0.25">
      <c r="A60" s="210"/>
      <c r="B60" s="226"/>
      <c r="C60" s="204"/>
      <c r="D60" s="204" t="s">
        <v>75</v>
      </c>
      <c r="E60" s="204"/>
      <c r="F60" s="204"/>
      <c r="G60" s="217">
        <f>ROUND(SUM(G57:G59),5)</f>
        <v>17500</v>
      </c>
      <c r="H60" s="217">
        <f>ROUND(SUM(H57:H59),5)</f>
        <v>23876.26</v>
      </c>
      <c r="I60" s="218">
        <f>ROUND(SUM(I57:I59),5)</f>
        <v>18000</v>
      </c>
      <c r="K60" s="332"/>
    </row>
    <row r="61" spans="1:11" ht="15.6" hidden="1" customHeight="1" outlineLevel="3" x14ac:dyDescent="0.25">
      <c r="A61" s="210"/>
      <c r="B61" s="226"/>
      <c r="C61" s="204"/>
      <c r="D61" s="204"/>
      <c r="E61" s="204" t="s">
        <v>76</v>
      </c>
      <c r="F61" s="204"/>
      <c r="G61" s="217">
        <v>1500</v>
      </c>
      <c r="H61" s="217">
        <f>2080.54+500</f>
        <v>2580.54</v>
      </c>
      <c r="I61" s="219">
        <v>3000</v>
      </c>
      <c r="K61" s="332"/>
    </row>
    <row r="62" spans="1:11" s="147" customFormat="1" ht="15.6" hidden="1" customHeight="1" outlineLevel="3" x14ac:dyDescent="0.25">
      <c r="A62" s="210"/>
      <c r="B62" s="226"/>
      <c r="C62" s="204"/>
      <c r="D62" s="204"/>
      <c r="E62" s="204" t="s">
        <v>77</v>
      </c>
      <c r="F62" s="204"/>
      <c r="G62" s="217">
        <v>3000</v>
      </c>
      <c r="H62" s="217">
        <f>461.28+1000</f>
        <v>1461.28</v>
      </c>
      <c r="I62" s="219">
        <v>1500</v>
      </c>
      <c r="K62" s="332"/>
    </row>
    <row r="63" spans="1:11" ht="15.6" hidden="1" customHeight="1" outlineLevel="3" x14ac:dyDescent="0.25">
      <c r="A63" s="210"/>
      <c r="B63" s="228"/>
      <c r="C63" s="223"/>
      <c r="D63" s="223"/>
      <c r="E63" s="223" t="s">
        <v>78</v>
      </c>
      <c r="F63" s="223"/>
      <c r="G63" s="217">
        <v>6000</v>
      </c>
      <c r="H63" s="217">
        <f>3342.99+1500</f>
        <v>4842.99</v>
      </c>
      <c r="I63" s="239">
        <v>3000</v>
      </c>
      <c r="K63" s="332"/>
    </row>
    <row r="64" spans="1:11" ht="15.95" hidden="1" customHeight="1" outlineLevel="2" collapsed="1" x14ac:dyDescent="0.25">
      <c r="A64" s="210"/>
      <c r="B64" s="232"/>
      <c r="C64" s="233"/>
      <c r="D64" s="233" t="s">
        <v>79</v>
      </c>
      <c r="E64" s="233"/>
      <c r="F64" s="233"/>
      <c r="G64" s="217">
        <f>ROUND(SUM(G61:G63),5)</f>
        <v>10500</v>
      </c>
      <c r="H64" s="234">
        <f>ROUND(SUM(H61:H63),5)</f>
        <v>8884.81</v>
      </c>
      <c r="I64" s="218">
        <f>ROUND(SUM(I61:I63),5)</f>
        <v>7500</v>
      </c>
      <c r="K64" s="332"/>
    </row>
    <row r="65" spans="1:11" ht="15" outlineLevel="1" collapsed="1" x14ac:dyDescent="0.25">
      <c r="A65" s="210"/>
      <c r="B65" s="226"/>
      <c r="C65" s="4"/>
      <c r="D65" s="204" t="s">
        <v>63</v>
      </c>
      <c r="E65" s="204"/>
      <c r="F65" s="204"/>
      <c r="G65" s="217">
        <f>ROUND(SUM(G48:G49)+G52+G56+G60+G64,5)</f>
        <v>55151</v>
      </c>
      <c r="H65" s="217">
        <f>ROUND(SUM(H48:H49)+H52+H56+H60+H64,5)</f>
        <v>57668.78</v>
      </c>
      <c r="I65" s="218">
        <f>ROUND(SUM(I48:I49)+I52+I56+I60+I64,5)</f>
        <v>48070</v>
      </c>
      <c r="K65" s="332"/>
    </row>
    <row r="66" spans="1:11" ht="15.6" hidden="1" customHeight="1" outlineLevel="2" x14ac:dyDescent="0.25">
      <c r="A66" s="210"/>
      <c r="B66" s="226"/>
      <c r="C66" s="204"/>
      <c r="D66" s="204" t="s">
        <v>82</v>
      </c>
      <c r="E66" s="204"/>
      <c r="F66" s="204"/>
      <c r="G66" s="217">
        <v>4000</v>
      </c>
      <c r="H66" s="217">
        <f>2*1754.51</f>
        <v>3509.02</v>
      </c>
      <c r="I66" s="225">
        <v>3700</v>
      </c>
      <c r="K66" s="332"/>
    </row>
    <row r="67" spans="1:11" ht="15.6" hidden="1" customHeight="1" outlineLevel="2" x14ac:dyDescent="0.25">
      <c r="A67" s="210"/>
      <c r="B67" s="226"/>
      <c r="C67" s="204"/>
      <c r="D67" s="204" t="s">
        <v>83</v>
      </c>
      <c r="E67" s="204"/>
      <c r="F67" s="204"/>
      <c r="G67" s="217">
        <v>11000</v>
      </c>
      <c r="H67" s="217">
        <f>7103.05+6*1000</f>
        <v>13103.05</v>
      </c>
      <c r="I67" s="219">
        <v>13200</v>
      </c>
      <c r="K67" s="332"/>
    </row>
    <row r="68" spans="1:11" ht="15.6" hidden="1" customHeight="1" outlineLevel="2" x14ac:dyDescent="0.25">
      <c r="A68" s="210"/>
      <c r="B68" s="226"/>
      <c r="C68" s="204"/>
      <c r="D68" s="204" t="s">
        <v>84</v>
      </c>
      <c r="E68" s="204"/>
      <c r="F68" s="204"/>
      <c r="G68" s="217">
        <v>12000</v>
      </c>
      <c r="H68" s="217">
        <v>0</v>
      </c>
      <c r="I68" s="219">
        <v>12000</v>
      </c>
      <c r="K68" s="332"/>
    </row>
    <row r="69" spans="1:11" ht="15.6" hidden="1" customHeight="1" outlineLevel="2" x14ac:dyDescent="0.25">
      <c r="A69" s="210"/>
      <c r="B69" s="226"/>
      <c r="C69" s="204"/>
      <c r="D69" s="204" t="s">
        <v>85</v>
      </c>
      <c r="E69" s="204"/>
      <c r="F69" s="204"/>
      <c r="G69" s="217">
        <v>2100</v>
      </c>
      <c r="H69" s="217">
        <f>320.88+1000</f>
        <v>1320.88</v>
      </c>
      <c r="I69" s="239">
        <v>1000</v>
      </c>
      <c r="K69" s="332"/>
    </row>
    <row r="70" spans="1:11" s="147" customFormat="1" ht="15" outlineLevel="1" collapsed="1" x14ac:dyDescent="0.25">
      <c r="A70" s="210"/>
      <c r="B70" s="228"/>
      <c r="C70" s="241"/>
      <c r="D70" s="223" t="s">
        <v>81</v>
      </c>
      <c r="E70" s="223"/>
      <c r="F70" s="223"/>
      <c r="G70" s="220">
        <f>ROUND(SUM(G66:G69),5)</f>
        <v>29100</v>
      </c>
      <c r="H70" s="220">
        <f>ROUND(SUM(H66:H69),5)</f>
        <v>17932.95</v>
      </c>
      <c r="I70" s="225">
        <f>ROUND(SUM(I66:I69),5)</f>
        <v>29900</v>
      </c>
      <c r="K70" s="332"/>
    </row>
    <row r="71" spans="1:11" ht="15" x14ac:dyDescent="0.25">
      <c r="A71" s="204"/>
      <c r="B71" s="242"/>
      <c r="C71" s="243" t="s">
        <v>99</v>
      </c>
      <c r="D71" s="243"/>
      <c r="E71" s="243"/>
      <c r="F71" s="243"/>
      <c r="G71" s="244">
        <f>ROUND(G32+G47+G65+G70,5)</f>
        <v>250229</v>
      </c>
      <c r="H71" s="244">
        <f>ROUND(H32+H47+H65+H70,5)</f>
        <v>240606.6</v>
      </c>
      <c r="I71" s="219">
        <f>ROUND(I32+I47+I65+I70,5)</f>
        <v>260420</v>
      </c>
      <c r="K71" s="332"/>
    </row>
    <row r="72" spans="1:11" ht="15.75" thickBot="1" x14ac:dyDescent="0.3">
      <c r="A72" s="210"/>
      <c r="B72" s="245" t="s">
        <v>180</v>
      </c>
      <c r="C72" s="246"/>
      <c r="D72" s="246"/>
      <c r="E72" s="246"/>
      <c r="F72" s="246"/>
      <c r="G72" s="247">
        <f>G25-G71</f>
        <v>3667</v>
      </c>
      <c r="H72" s="247">
        <f>H25-H71</f>
        <v>3728.7333299999882</v>
      </c>
      <c r="I72" s="248">
        <f>I25-I71</f>
        <v>-4039.2666700000118</v>
      </c>
      <c r="J72" s="249"/>
      <c r="K72" s="332"/>
    </row>
    <row r="73" spans="1:11" s="147" customFormat="1" ht="15.95" hidden="1" customHeight="1" x14ac:dyDescent="0.3">
      <c r="A73" s="210"/>
      <c r="B73" s="216"/>
      <c r="C73" s="250"/>
      <c r="D73" s="250"/>
      <c r="E73" s="250"/>
      <c r="F73" s="250"/>
      <c r="G73" s="251"/>
      <c r="H73" s="251" t="e">
        <f>ROUND(#REF!-#REF!,5)</f>
        <v>#REF!</v>
      </c>
      <c r="I73" s="251"/>
      <c r="K73" s="333"/>
    </row>
    <row r="74" spans="1:11" s="205" customFormat="1" ht="15.95" hidden="1" customHeight="1" thickBot="1" x14ac:dyDescent="0.35">
      <c r="A74" s="210"/>
      <c r="B74" s="216"/>
      <c r="C74" s="210"/>
      <c r="D74" s="210"/>
      <c r="E74" s="210"/>
      <c r="F74" s="210"/>
      <c r="G74" s="252">
        <f>ROUND(G72+G73,5)</f>
        <v>3667</v>
      </c>
      <c r="H74" s="252" t="e">
        <f>ROUND(H72+H73,5)</f>
        <v>#REF!</v>
      </c>
      <c r="I74" s="252"/>
      <c r="K74" s="334"/>
    </row>
    <row r="75" spans="1:11" ht="15.6" hidden="1" customHeight="1" thickBot="1" x14ac:dyDescent="0.35">
      <c r="B75" s="253"/>
      <c r="G75" s="249"/>
      <c r="H75" s="249"/>
      <c r="I75" s="249"/>
    </row>
    <row r="76" spans="1:11" ht="8.1" customHeight="1" x14ac:dyDescent="0.3">
      <c r="C76" s="254"/>
      <c r="D76" s="254"/>
      <c r="E76" s="254"/>
      <c r="F76" s="254"/>
      <c r="G76" s="249"/>
      <c r="H76" s="249"/>
      <c r="I76" s="249"/>
    </row>
    <row r="77" spans="1:11" ht="15.6" customHeight="1" outlineLevel="1" x14ac:dyDescent="0.25">
      <c r="A77" s="210"/>
      <c r="B77" s="310" t="s">
        <v>169</v>
      </c>
      <c r="C77" s="311"/>
      <c r="D77" s="312"/>
      <c r="E77" s="312"/>
      <c r="F77" s="312"/>
      <c r="G77" s="313">
        <v>267021</v>
      </c>
      <c r="H77" s="313">
        <v>265478.89</v>
      </c>
      <c r="I77" s="313">
        <f>H95</f>
        <v>297478.89</v>
      </c>
      <c r="K77" s="332" t="s">
        <v>190</v>
      </c>
    </row>
    <row r="78" spans="1:11" ht="15.6" customHeight="1" outlineLevel="2" x14ac:dyDescent="0.25">
      <c r="A78" s="210"/>
      <c r="B78" s="216"/>
      <c r="C78" s="210"/>
      <c r="D78" s="204" t="s">
        <v>167</v>
      </c>
      <c r="E78" s="210"/>
      <c r="F78" s="210"/>
      <c r="G78" s="217">
        <v>40000</v>
      </c>
      <c r="H78" s="227">
        <f>40000</f>
        <v>40000</v>
      </c>
      <c r="I78" s="218">
        <f>-I23</f>
        <v>60000</v>
      </c>
      <c r="K78" s="332"/>
    </row>
    <row r="79" spans="1:11" ht="15.6" customHeight="1" outlineLevel="2" x14ac:dyDescent="0.25">
      <c r="A79" s="210"/>
      <c r="B79" s="221"/>
      <c r="C79" s="222"/>
      <c r="D79" s="223" t="s">
        <v>38</v>
      </c>
      <c r="E79" s="222"/>
      <c r="F79" s="222"/>
      <c r="G79" s="220">
        <v>85000</v>
      </c>
      <c r="H79" s="220">
        <f>28280.61+55000</f>
        <v>83280.61</v>
      </c>
      <c r="I79" s="225">
        <v>150000</v>
      </c>
      <c r="K79" s="332"/>
    </row>
    <row r="80" spans="1:11" ht="15.95" hidden="1" customHeight="1" outlineLevel="1" x14ac:dyDescent="0.25">
      <c r="A80" s="204"/>
      <c r="B80" s="226"/>
      <c r="C80" s="204" t="s">
        <v>162</v>
      </c>
      <c r="D80" s="204"/>
      <c r="E80" s="204"/>
      <c r="F80" s="204"/>
      <c r="G80" s="234">
        <f>ROUND(SUM(G78:G79),5)</f>
        <v>125000</v>
      </c>
      <c r="H80" s="234">
        <f>ROUND(SUM(H78:H79),5)</f>
        <v>123280.61</v>
      </c>
      <c r="I80" s="256">
        <f>ROUND(SUM(I78:I79),5)</f>
        <v>210000</v>
      </c>
      <c r="K80" s="332"/>
    </row>
    <row r="81" spans="1:12" ht="15.6" customHeight="1" x14ac:dyDescent="0.25">
      <c r="A81" s="204"/>
      <c r="B81" s="229"/>
      <c r="C81" s="204" t="s">
        <v>40</v>
      </c>
      <c r="D81" s="204"/>
      <c r="E81" s="204"/>
      <c r="F81" s="204"/>
      <c r="G81" s="217">
        <f>G80+G77</f>
        <v>392021</v>
      </c>
      <c r="H81" s="217">
        <f>H80+H77</f>
        <v>388759.5</v>
      </c>
      <c r="I81" s="218">
        <f>I80+I77</f>
        <v>507478.89</v>
      </c>
      <c r="K81" s="332"/>
    </row>
    <row r="82" spans="1:12" ht="15.6" customHeight="1" outlineLevel="1" x14ac:dyDescent="0.25">
      <c r="A82" s="204"/>
      <c r="B82" s="253"/>
      <c r="C82" s="238" t="s">
        <v>108</v>
      </c>
      <c r="G82" s="217"/>
      <c r="H82" s="217"/>
      <c r="I82" s="218"/>
      <c r="K82" s="332"/>
    </row>
    <row r="83" spans="1:12" ht="15.6" customHeight="1" outlineLevel="1" x14ac:dyDescent="0.25">
      <c r="A83" s="204"/>
      <c r="B83" s="253"/>
      <c r="D83" s="238" t="s">
        <v>163</v>
      </c>
      <c r="G83" s="217">
        <v>3000</v>
      </c>
      <c r="H83" s="217">
        <v>3000</v>
      </c>
      <c r="I83" s="218">
        <v>0</v>
      </c>
      <c r="K83" s="332"/>
    </row>
    <row r="84" spans="1:12" ht="15.6" customHeight="1" outlineLevel="1" x14ac:dyDescent="0.25">
      <c r="B84" s="216"/>
      <c r="C84" s="210"/>
      <c r="D84" s="204" t="s">
        <v>154</v>
      </c>
      <c r="E84" s="210"/>
      <c r="F84" s="210"/>
      <c r="G84" s="217"/>
      <c r="H84" s="217"/>
      <c r="I84" s="218">
        <v>2500</v>
      </c>
      <c r="K84" s="332"/>
    </row>
    <row r="85" spans="1:12" ht="15.6" customHeight="1" outlineLevel="1" x14ac:dyDescent="0.25">
      <c r="B85" s="216"/>
      <c r="C85" s="210"/>
      <c r="D85" s="204" t="s">
        <v>88</v>
      </c>
      <c r="E85" s="210"/>
      <c r="F85" s="210"/>
      <c r="G85" s="217">
        <v>5000</v>
      </c>
      <c r="H85" s="217">
        <v>5000</v>
      </c>
      <c r="I85" s="218"/>
      <c r="K85" s="332"/>
    </row>
    <row r="86" spans="1:12" ht="15.6" customHeight="1" outlineLevel="1" x14ac:dyDescent="0.25">
      <c r="B86" s="216"/>
      <c r="C86" s="210"/>
      <c r="D86" s="204" t="s">
        <v>110</v>
      </c>
      <c r="E86" s="210"/>
      <c r="F86" s="210"/>
      <c r="G86" s="217">
        <v>10000</v>
      </c>
      <c r="H86" s="217">
        <v>0</v>
      </c>
      <c r="I86" s="218">
        <v>10000</v>
      </c>
      <c r="K86" s="332"/>
    </row>
    <row r="87" spans="1:12" ht="15.6" customHeight="1" outlineLevel="1" x14ac:dyDescent="0.25">
      <c r="B87" s="216"/>
      <c r="C87" s="210"/>
      <c r="D87" s="204" t="s">
        <v>90</v>
      </c>
      <c r="E87" s="210"/>
      <c r="F87" s="210"/>
      <c r="G87" s="217">
        <v>85000</v>
      </c>
      <c r="H87" s="217">
        <f>H79</f>
        <v>83280.61</v>
      </c>
      <c r="I87" s="218">
        <v>150000</v>
      </c>
      <c r="K87" s="332"/>
    </row>
    <row r="88" spans="1:12" ht="15.6" customHeight="1" outlineLevel="1" x14ac:dyDescent="0.25">
      <c r="B88" s="216"/>
      <c r="C88" s="210"/>
      <c r="D88" s="204" t="s">
        <v>164</v>
      </c>
      <c r="E88" s="210"/>
      <c r="F88" s="210"/>
      <c r="G88" s="217"/>
      <c r="H88" s="217"/>
      <c r="I88" s="218">
        <v>30000</v>
      </c>
      <c r="K88" s="332"/>
    </row>
    <row r="89" spans="1:12" ht="15.6" customHeight="1" outlineLevel="1" x14ac:dyDescent="0.25">
      <c r="B89" s="221"/>
      <c r="C89" s="222"/>
      <c r="D89" s="223" t="s">
        <v>93</v>
      </c>
      <c r="E89" s="222"/>
      <c r="F89" s="222"/>
      <c r="G89" s="220">
        <v>9000</v>
      </c>
      <c r="H89" s="220">
        <v>0</v>
      </c>
      <c r="I89" s="218">
        <v>9000</v>
      </c>
      <c r="K89" s="332"/>
    </row>
    <row r="90" spans="1:12" ht="15.6" customHeight="1" x14ac:dyDescent="0.25">
      <c r="A90" s="238"/>
      <c r="B90" s="257"/>
      <c r="C90" s="230" t="s">
        <v>94</v>
      </c>
      <c r="D90" s="230"/>
      <c r="E90" s="230"/>
      <c r="F90" s="230"/>
      <c r="G90" s="258">
        <f>SUM(G82:G89)</f>
        <v>112000</v>
      </c>
      <c r="H90" s="258">
        <f>SUM(H82:H89)</f>
        <v>91280.61</v>
      </c>
      <c r="I90" s="239">
        <f>SUM(I84:I89)</f>
        <v>201500</v>
      </c>
      <c r="K90" s="332"/>
    </row>
    <row r="91" spans="1:12" ht="15.6" hidden="1" customHeight="1" outlineLevel="1" x14ac:dyDescent="0.25">
      <c r="A91" s="210"/>
      <c r="B91" s="226" t="s">
        <v>95</v>
      </c>
      <c r="C91" s="210"/>
      <c r="D91" s="210"/>
      <c r="E91" s="210"/>
      <c r="F91" s="259"/>
      <c r="G91" s="217"/>
      <c r="H91" s="217"/>
      <c r="I91" s="218"/>
      <c r="K91" s="332"/>
    </row>
    <row r="92" spans="1:12" s="147" customFormat="1" ht="15.6" hidden="1" customHeight="1" outlineLevel="1" thickBot="1" x14ac:dyDescent="0.3">
      <c r="A92" s="210"/>
      <c r="B92" s="216"/>
      <c r="C92" s="204" t="s">
        <v>96</v>
      </c>
      <c r="D92" s="210"/>
      <c r="E92" s="210"/>
      <c r="F92" s="259"/>
      <c r="G92" s="217">
        <v>7000</v>
      </c>
      <c r="H92" s="217">
        <v>0</v>
      </c>
      <c r="I92" s="218">
        <v>8000</v>
      </c>
      <c r="J92" s="4"/>
      <c r="K92" s="332"/>
      <c r="L92" s="4"/>
    </row>
    <row r="93" spans="1:12" ht="15.6" hidden="1" customHeight="1" outlineLevel="1" thickBot="1" x14ac:dyDescent="0.3">
      <c r="A93" s="210"/>
      <c r="B93" s="216"/>
      <c r="C93" s="204" t="s">
        <v>97</v>
      </c>
      <c r="D93" s="210"/>
      <c r="E93" s="210"/>
      <c r="F93" s="259"/>
      <c r="G93" s="217">
        <v>2000</v>
      </c>
      <c r="H93" s="217">
        <v>0</v>
      </c>
      <c r="I93" s="218">
        <v>2000</v>
      </c>
      <c r="K93" s="332"/>
    </row>
    <row r="94" spans="1:12" ht="15.95" customHeight="1" collapsed="1" thickBot="1" x14ac:dyDescent="0.3">
      <c r="A94" s="204"/>
      <c r="B94" s="232"/>
      <c r="C94" s="233" t="s">
        <v>95</v>
      </c>
      <c r="D94" s="233"/>
      <c r="E94" s="233"/>
      <c r="F94" s="260"/>
      <c r="G94" s="234">
        <f>ROUND(SUM(G91:G93),5)</f>
        <v>9000</v>
      </c>
      <c r="H94" s="234">
        <f t="shared" ref="H94" si="2">ROUND(SUM(H91:H93),5)</f>
        <v>0</v>
      </c>
      <c r="I94" s="256">
        <f>SUM(I92:I93)</f>
        <v>10000</v>
      </c>
      <c r="K94" s="332"/>
    </row>
    <row r="95" spans="1:12" ht="15.95" customHeight="1" thickBot="1" x14ac:dyDescent="0.3">
      <c r="A95" s="210"/>
      <c r="B95" s="261" t="s">
        <v>168</v>
      </c>
      <c r="C95" s="262"/>
      <c r="D95" s="262"/>
      <c r="E95" s="262"/>
      <c r="F95" s="262"/>
      <c r="G95" s="263">
        <f>G81-G90-G94</f>
        <v>271021</v>
      </c>
      <c r="H95" s="247">
        <f>H81-H90-H94</f>
        <v>297478.89</v>
      </c>
      <c r="I95" s="248">
        <f>I81-I90-I94</f>
        <v>295978.89</v>
      </c>
      <c r="K95" s="332"/>
    </row>
    <row r="96" spans="1:12" ht="8.1" customHeight="1" thickBot="1" x14ac:dyDescent="0.35">
      <c r="B96" s="210"/>
      <c r="C96" s="210"/>
      <c r="D96" s="210"/>
      <c r="E96" s="210"/>
      <c r="F96" s="210"/>
      <c r="G96" s="264"/>
      <c r="H96" s="264"/>
      <c r="I96" s="265"/>
    </row>
    <row r="97" spans="1:11" ht="14.45" customHeight="1" outlineLevel="1" x14ac:dyDescent="0.25">
      <c r="B97" s="211" t="s">
        <v>170</v>
      </c>
      <c r="C97" s="212"/>
      <c r="D97" s="213"/>
      <c r="E97" s="213"/>
      <c r="F97" s="213"/>
      <c r="G97" s="214">
        <v>-38564</v>
      </c>
      <c r="H97" s="214">
        <v>-42816.46</v>
      </c>
      <c r="I97" s="215">
        <f>H134</f>
        <v>-3936.2966699999961</v>
      </c>
      <c r="K97" s="332" t="s">
        <v>191</v>
      </c>
    </row>
    <row r="98" spans="1:11" ht="15.6" hidden="1" customHeight="1" outlineLevel="3" x14ac:dyDescent="0.25">
      <c r="A98" s="210"/>
      <c r="B98" s="216"/>
      <c r="C98" s="210"/>
      <c r="D98" s="210"/>
      <c r="E98" s="204" t="s">
        <v>5</v>
      </c>
      <c r="F98" s="210"/>
      <c r="G98" s="217"/>
      <c r="H98" s="217"/>
      <c r="I98" s="218"/>
      <c r="K98" s="332"/>
    </row>
    <row r="99" spans="1:11" ht="15.6" hidden="1" customHeight="1" outlineLevel="3" x14ac:dyDescent="0.25">
      <c r="A99" s="210"/>
      <c r="B99" s="216"/>
      <c r="C99" s="210"/>
      <c r="D99" s="210"/>
      <c r="E99" s="210"/>
      <c r="F99" s="204" t="s">
        <v>6</v>
      </c>
      <c r="G99" s="217">
        <v>15000</v>
      </c>
      <c r="H99" s="217">
        <v>13000</v>
      </c>
      <c r="I99" s="219">
        <v>16000</v>
      </c>
      <c r="K99" s="332"/>
    </row>
    <row r="100" spans="1:11" ht="15.6" hidden="1" customHeight="1" outlineLevel="3" x14ac:dyDescent="0.25">
      <c r="A100" s="210"/>
      <c r="B100" s="216"/>
      <c r="C100" s="210"/>
      <c r="D100" s="210"/>
      <c r="E100" s="210"/>
      <c r="F100" s="204" t="s">
        <v>7</v>
      </c>
      <c r="G100" s="220"/>
      <c r="H100" s="220">
        <v>0</v>
      </c>
      <c r="I100" s="219">
        <v>0</v>
      </c>
      <c r="K100" s="332"/>
    </row>
    <row r="101" spans="1:11" ht="14.45" customHeight="1" outlineLevel="2" collapsed="1" x14ac:dyDescent="0.25">
      <c r="A101" s="210"/>
      <c r="B101" s="216"/>
      <c r="C101" s="210"/>
      <c r="D101" s="204" t="s">
        <v>182</v>
      </c>
      <c r="E101" s="4"/>
      <c r="F101" s="210"/>
      <c r="G101" s="217">
        <f>ROUND(SUM(G98:G100),5)</f>
        <v>15000</v>
      </c>
      <c r="H101" s="217">
        <f>ROUND(SUM(H98:H100),5)</f>
        <v>13000</v>
      </c>
      <c r="I101" s="218">
        <f>ROUND(SUM(I98:I100),5)</f>
        <v>16000</v>
      </c>
      <c r="K101" s="332"/>
    </row>
    <row r="102" spans="1:11" ht="15.6" hidden="1" customHeight="1" outlineLevel="3" x14ac:dyDescent="0.25">
      <c r="A102" s="210"/>
      <c r="B102" s="216"/>
      <c r="C102" s="210"/>
      <c r="D102" s="210"/>
      <c r="E102" s="204" t="s">
        <v>10</v>
      </c>
      <c r="F102" s="210"/>
      <c r="G102" s="217"/>
      <c r="H102" s="217"/>
      <c r="I102" s="218"/>
      <c r="K102" s="332"/>
    </row>
    <row r="103" spans="1:11" ht="15.6" hidden="1" customHeight="1" outlineLevel="3" x14ac:dyDescent="0.25">
      <c r="A103" s="210"/>
      <c r="B103" s="216"/>
      <c r="C103" s="210"/>
      <c r="D103" s="210"/>
      <c r="E103" s="210"/>
      <c r="F103" s="204" t="s">
        <v>11</v>
      </c>
      <c r="G103" s="217">
        <v>0</v>
      </c>
      <c r="H103" s="217">
        <f>148/0.75</f>
        <v>197.33333333333334</v>
      </c>
      <c r="I103" s="239"/>
      <c r="K103" s="332"/>
    </row>
    <row r="104" spans="1:11" ht="15.6" hidden="1" customHeight="1" outlineLevel="3" x14ac:dyDescent="0.25">
      <c r="A104" s="210"/>
      <c r="B104" s="216"/>
      <c r="C104" s="210"/>
      <c r="D104" s="210"/>
      <c r="E104" s="210"/>
      <c r="F104" s="204" t="s">
        <v>12</v>
      </c>
      <c r="G104" s="217">
        <v>95000</v>
      </c>
      <c r="H104" s="220">
        <v>95127</v>
      </c>
      <c r="I104" s="225">
        <v>125000</v>
      </c>
      <c r="K104" s="332"/>
    </row>
    <row r="105" spans="1:11" ht="14.45" customHeight="1" outlineLevel="2" collapsed="1" x14ac:dyDescent="0.25">
      <c r="A105" s="210"/>
      <c r="B105" s="216"/>
      <c r="C105" s="210"/>
      <c r="D105" s="204" t="s">
        <v>10</v>
      </c>
      <c r="E105" s="4"/>
      <c r="F105" s="210"/>
      <c r="G105" s="217">
        <f>ROUND(SUM(G102:G104),5)</f>
        <v>95000</v>
      </c>
      <c r="H105" s="217">
        <f>ROUND(SUM(H102:H104),5)</f>
        <v>95324.333329999994</v>
      </c>
      <c r="I105" s="218">
        <f>ROUND(SUM(I102:I104),5)</f>
        <v>125000</v>
      </c>
      <c r="K105" s="332"/>
    </row>
    <row r="106" spans="1:11" ht="15.6" hidden="1" customHeight="1" outlineLevel="3" x14ac:dyDescent="0.25">
      <c r="A106" s="210"/>
      <c r="B106" s="216"/>
      <c r="C106" s="210"/>
      <c r="D106" s="210"/>
      <c r="E106" s="204" t="s">
        <v>14</v>
      </c>
      <c r="F106" s="210"/>
      <c r="G106" s="217"/>
      <c r="H106" s="217"/>
      <c r="I106" s="218"/>
      <c r="K106" s="332"/>
    </row>
    <row r="107" spans="1:11" ht="15.6" hidden="1" customHeight="1" outlineLevel="3" x14ac:dyDescent="0.25">
      <c r="A107" s="210"/>
      <c r="B107" s="216"/>
      <c r="C107" s="210"/>
      <c r="D107" s="210"/>
      <c r="E107" s="210"/>
      <c r="F107" s="204" t="s">
        <v>19</v>
      </c>
      <c r="G107" s="217">
        <v>0</v>
      </c>
      <c r="H107" s="217">
        <f>392.02+(6*60)</f>
        <v>752.02</v>
      </c>
      <c r="I107" s="219"/>
      <c r="K107" s="332"/>
    </row>
    <row r="108" spans="1:11" ht="15.6" hidden="1" customHeight="1" outlineLevel="3" x14ac:dyDescent="0.25">
      <c r="A108" s="210"/>
      <c r="B108" s="216"/>
      <c r="C108" s="210"/>
      <c r="D108" s="210"/>
      <c r="E108" s="210"/>
      <c r="F108" s="204" t="s">
        <v>20</v>
      </c>
      <c r="G108" s="217">
        <v>0</v>
      </c>
      <c r="H108" s="217">
        <v>0</v>
      </c>
      <c r="I108" s="239"/>
      <c r="K108" s="332"/>
    </row>
    <row r="109" spans="1:11" ht="14.45" customHeight="1" outlineLevel="2" collapsed="1" x14ac:dyDescent="0.25">
      <c r="A109" s="210"/>
      <c r="B109" s="221"/>
      <c r="C109" s="222"/>
      <c r="D109" s="223" t="s">
        <v>21</v>
      </c>
      <c r="E109" s="224"/>
      <c r="F109" s="222"/>
      <c r="G109" s="220">
        <f>ROUND(SUM(G106:G108),5)</f>
        <v>0</v>
      </c>
      <c r="H109" s="220">
        <f>ROUND(SUM(H106:H108),5)</f>
        <v>752.02</v>
      </c>
      <c r="I109" s="225">
        <f>ROUND(SUM(I106:I108),5)</f>
        <v>0</v>
      </c>
      <c r="K109" s="332"/>
    </row>
    <row r="110" spans="1:11" ht="14.45" customHeight="1" outlineLevel="1" x14ac:dyDescent="0.25">
      <c r="A110" s="204"/>
      <c r="B110" s="226"/>
      <c r="C110" s="204" t="s">
        <v>23</v>
      </c>
      <c r="D110" s="4"/>
      <c r="E110" s="204"/>
      <c r="F110" s="204"/>
      <c r="G110" s="217">
        <f>ROUND(SUM(G101:G101)+G105+SUM(G109:G109),5)</f>
        <v>110000</v>
      </c>
      <c r="H110" s="217">
        <f>ROUND(SUM(H101:H101)+H105+SUM(H109:H109),5)</f>
        <v>109076.35333</v>
      </c>
      <c r="I110" s="218">
        <f>ROUND(SUM(I101:I101)+I105+SUM(I109:I109),5)</f>
        <v>141000</v>
      </c>
      <c r="K110" s="332"/>
    </row>
    <row r="111" spans="1:11" ht="15.6" hidden="1" customHeight="1" outlineLevel="2" x14ac:dyDescent="0.25">
      <c r="A111" s="210"/>
      <c r="B111" s="216"/>
      <c r="C111" s="210"/>
      <c r="D111" s="204" t="s">
        <v>24</v>
      </c>
      <c r="E111" s="210"/>
      <c r="F111" s="210"/>
      <c r="G111" s="217"/>
      <c r="H111" s="217"/>
      <c r="I111" s="218"/>
      <c r="K111" s="332"/>
    </row>
    <row r="112" spans="1:11" ht="15.6" hidden="1" customHeight="1" outlineLevel="2" x14ac:dyDescent="0.25">
      <c r="A112" s="210"/>
      <c r="B112" s="216"/>
      <c r="C112" s="210"/>
      <c r="D112" s="204"/>
      <c r="E112" s="204" t="s">
        <v>25</v>
      </c>
      <c r="F112" s="210"/>
      <c r="G112" s="266"/>
      <c r="H112" s="217"/>
      <c r="I112" s="218"/>
      <c r="K112" s="332"/>
    </row>
    <row r="113" spans="1:14" ht="15.6" hidden="1" customHeight="1" outlineLevel="2" x14ac:dyDescent="0.25">
      <c r="A113" s="210"/>
      <c r="B113" s="216"/>
      <c r="C113" s="210"/>
      <c r="D113" s="210"/>
      <c r="E113" s="204" t="s">
        <v>26</v>
      </c>
      <c r="F113" s="210"/>
      <c r="G113" s="266"/>
      <c r="H113" s="217">
        <v>1504</v>
      </c>
      <c r="I113" s="218"/>
      <c r="K113" s="332"/>
    </row>
    <row r="114" spans="1:14" ht="15.6" hidden="1" customHeight="1" outlineLevel="2" x14ac:dyDescent="0.25">
      <c r="A114" s="210"/>
      <c r="B114" s="216"/>
      <c r="C114" s="210"/>
      <c r="D114" s="210"/>
      <c r="E114" s="204" t="s">
        <v>27</v>
      </c>
      <c r="F114" s="210"/>
      <c r="G114" s="266"/>
      <c r="H114" s="217">
        <v>20166.52</v>
      </c>
      <c r="I114" s="218"/>
      <c r="K114" s="332"/>
    </row>
    <row r="115" spans="1:14" ht="15.6" hidden="1" customHeight="1" outlineLevel="2" x14ac:dyDescent="0.25">
      <c r="A115" s="210"/>
      <c r="B115" s="216"/>
      <c r="C115" s="210"/>
      <c r="D115" s="210"/>
      <c r="E115" s="204" t="s">
        <v>28</v>
      </c>
      <c r="F115" s="210"/>
      <c r="G115" s="267"/>
      <c r="H115" s="220">
        <v>345.3</v>
      </c>
      <c r="I115" s="225"/>
      <c r="K115" s="332"/>
    </row>
    <row r="116" spans="1:14" ht="15.6" customHeight="1" outlineLevel="1" collapsed="1" x14ac:dyDescent="0.25">
      <c r="A116" s="210"/>
      <c r="B116" s="221"/>
      <c r="C116" s="222"/>
      <c r="D116" s="223" t="s">
        <v>166</v>
      </c>
      <c r="E116" s="222"/>
      <c r="F116" s="222"/>
      <c r="G116" s="220"/>
      <c r="H116" s="220">
        <f>ROUND(SUM(H111:H115),5)</f>
        <v>22015.82</v>
      </c>
      <c r="I116" s="225"/>
      <c r="K116" s="332"/>
    </row>
    <row r="117" spans="1:14" ht="15.6" customHeight="1" outlineLevel="1" x14ac:dyDescent="0.25">
      <c r="A117" s="204"/>
      <c r="B117" s="226"/>
      <c r="C117" s="204" t="s">
        <v>34</v>
      </c>
      <c r="D117" s="204"/>
      <c r="E117" s="204"/>
      <c r="F117" s="204"/>
      <c r="G117" s="217">
        <f>ROUND(G110+G116,5)</f>
        <v>110000</v>
      </c>
      <c r="H117" s="217">
        <f>ROUND(H110+H116,5)</f>
        <v>131092.17332999999</v>
      </c>
      <c r="I117" s="218">
        <f>ROUND(I110+I116,5)</f>
        <v>141000</v>
      </c>
      <c r="K117" s="332"/>
    </row>
    <row r="118" spans="1:14" ht="15.6" customHeight="1" outlineLevel="2" x14ac:dyDescent="0.25">
      <c r="A118" s="210"/>
      <c r="B118" s="216"/>
      <c r="C118" s="210"/>
      <c r="D118" s="204" t="s">
        <v>36</v>
      </c>
      <c r="E118" s="210"/>
      <c r="F118" s="210"/>
      <c r="G118" s="217">
        <v>205</v>
      </c>
      <c r="H118" s="217">
        <f>2810.18+6*900</f>
        <v>8210.18</v>
      </c>
      <c r="I118" s="218">
        <v>12000</v>
      </c>
      <c r="K118" s="332"/>
    </row>
    <row r="119" spans="1:14" ht="15.6" customHeight="1" outlineLevel="2" x14ac:dyDescent="0.25">
      <c r="A119" s="210"/>
      <c r="B119" s="216"/>
      <c r="C119" s="210"/>
      <c r="D119" s="204" t="s">
        <v>165</v>
      </c>
      <c r="E119" s="210"/>
      <c r="F119" s="210"/>
      <c r="G119" s="217"/>
      <c r="H119" s="227">
        <v>10000</v>
      </c>
      <c r="I119" s="218"/>
      <c r="K119" s="332"/>
    </row>
    <row r="120" spans="1:14" ht="15.95" customHeight="1" outlineLevel="2" thickBot="1" x14ac:dyDescent="0.3">
      <c r="A120" s="210"/>
      <c r="B120" s="221"/>
      <c r="C120" s="222"/>
      <c r="D120" s="223" t="s">
        <v>38</v>
      </c>
      <c r="E120" s="222"/>
      <c r="F120" s="222"/>
      <c r="G120" s="220">
        <v>100000</v>
      </c>
      <c r="H120" s="220">
        <v>0</v>
      </c>
      <c r="I120" s="225">
        <v>250000</v>
      </c>
      <c r="K120" s="332"/>
    </row>
    <row r="121" spans="1:14" ht="15.95" hidden="1" customHeight="1" outlineLevel="1" x14ac:dyDescent="0.25">
      <c r="A121" s="204"/>
      <c r="B121" s="232"/>
      <c r="C121" s="233" t="s">
        <v>39</v>
      </c>
      <c r="D121" s="233"/>
      <c r="E121" s="233"/>
      <c r="F121" s="233"/>
      <c r="G121" s="234">
        <f>ROUND(SUM(G118:G120),5)</f>
        <v>100205</v>
      </c>
      <c r="H121" s="234">
        <f>ROUND(SUM(H118:H120),5)</f>
        <v>18210.18</v>
      </c>
      <c r="I121" s="256">
        <f>ROUND(SUM(I118:I120),5)</f>
        <v>262000</v>
      </c>
      <c r="K121" s="332"/>
    </row>
    <row r="122" spans="1:14" ht="15.6" customHeight="1" x14ac:dyDescent="0.25">
      <c r="A122" s="204"/>
      <c r="B122" s="229"/>
      <c r="C122" s="255" t="s">
        <v>40</v>
      </c>
      <c r="D122" s="204"/>
      <c r="E122" s="204"/>
      <c r="F122" s="204"/>
      <c r="G122" s="217">
        <f>ROUND(SUM(G97:G97)+G117+G121,5)</f>
        <v>171641</v>
      </c>
      <c r="H122" s="217">
        <f>ROUND(SUM(H97:H97)+H117+H121,5)</f>
        <v>106485.89333000001</v>
      </c>
      <c r="I122" s="218">
        <f>ROUND(SUM(I97:I97)+I117+I121,5)</f>
        <v>399063.70332999999</v>
      </c>
      <c r="K122" s="332"/>
    </row>
    <row r="123" spans="1:14" ht="15.6" customHeight="1" outlineLevel="1" x14ac:dyDescent="0.25">
      <c r="B123" s="253"/>
      <c r="C123" s="238" t="s">
        <v>108</v>
      </c>
      <c r="G123" s="217"/>
      <c r="H123" s="217"/>
      <c r="I123" s="218"/>
      <c r="J123" s="249"/>
      <c r="K123" s="332"/>
      <c r="M123" s="249"/>
      <c r="N123" s="249"/>
    </row>
    <row r="124" spans="1:14" ht="15.6" customHeight="1" outlineLevel="1" x14ac:dyDescent="0.25">
      <c r="B124" s="216"/>
      <c r="C124" s="210"/>
      <c r="D124" s="204" t="s">
        <v>87</v>
      </c>
      <c r="E124" s="210"/>
      <c r="F124" s="210"/>
      <c r="G124" s="217"/>
      <c r="H124" s="217">
        <v>11499</v>
      </c>
      <c r="I124" s="218"/>
      <c r="K124" s="332"/>
    </row>
    <row r="125" spans="1:14" ht="15.6" customHeight="1" outlineLevel="1" x14ac:dyDescent="0.25">
      <c r="B125" s="216"/>
      <c r="C125" s="210"/>
      <c r="D125" s="204" t="s">
        <v>156</v>
      </c>
      <c r="E125" s="210"/>
      <c r="F125" s="210"/>
      <c r="G125" s="268"/>
      <c r="H125" s="217"/>
      <c r="I125" s="269">
        <v>35000</v>
      </c>
      <c r="K125" s="332"/>
    </row>
    <row r="126" spans="1:14" ht="15.6" customHeight="1" outlineLevel="1" x14ac:dyDescent="0.25">
      <c r="B126" s="216"/>
      <c r="C126" s="210"/>
      <c r="D126" s="204" t="s">
        <v>89</v>
      </c>
      <c r="E126" s="210"/>
      <c r="G126" s="217">
        <v>113000</v>
      </c>
      <c r="H126" s="217">
        <f>16939+30000</f>
        <v>46939</v>
      </c>
      <c r="I126" s="269">
        <v>50000</v>
      </c>
      <c r="K126" s="332"/>
    </row>
    <row r="127" spans="1:14" ht="15.6" customHeight="1" outlineLevel="1" x14ac:dyDescent="0.25">
      <c r="B127" s="216"/>
      <c r="C127" s="210"/>
      <c r="D127" s="204" t="s">
        <v>184</v>
      </c>
      <c r="E127" s="210"/>
      <c r="F127" s="210"/>
      <c r="G127" s="217"/>
      <c r="H127" s="217"/>
      <c r="I127" s="218">
        <v>250000</v>
      </c>
      <c r="K127" s="332"/>
    </row>
    <row r="128" spans="1:14" ht="15.6" hidden="1" customHeight="1" outlineLevel="1" x14ac:dyDescent="0.25">
      <c r="B128" s="216"/>
      <c r="C128" s="210"/>
      <c r="D128" s="204" t="s">
        <v>92</v>
      </c>
      <c r="E128" s="210"/>
      <c r="F128" s="210"/>
      <c r="G128" s="217"/>
      <c r="H128" s="217"/>
      <c r="I128" s="218"/>
      <c r="K128" s="332"/>
    </row>
    <row r="129" spans="1:11" ht="15.6" customHeight="1" outlineLevel="1" x14ac:dyDescent="0.25">
      <c r="B129" s="221"/>
      <c r="C129" s="222"/>
      <c r="D129" s="223" t="s">
        <v>93</v>
      </c>
      <c r="E129" s="222"/>
      <c r="F129" s="222"/>
      <c r="G129" s="220">
        <v>3000</v>
      </c>
      <c r="H129" s="220">
        <v>0</v>
      </c>
      <c r="I129" s="225"/>
      <c r="K129" s="332"/>
    </row>
    <row r="130" spans="1:11" ht="15.6" customHeight="1" x14ac:dyDescent="0.25">
      <c r="B130" s="270"/>
      <c r="C130" s="230" t="s">
        <v>94</v>
      </c>
      <c r="D130" s="271"/>
      <c r="E130" s="271"/>
      <c r="F130" s="271"/>
      <c r="G130" s="258">
        <f>SUM(G124:G129)</f>
        <v>116000</v>
      </c>
      <c r="H130" s="258">
        <f>SUM(H124:H129)</f>
        <v>58438</v>
      </c>
      <c r="I130" s="272">
        <f>SUM(I124:I129)</f>
        <v>335000</v>
      </c>
      <c r="K130" s="332"/>
    </row>
    <row r="131" spans="1:11" s="147" customFormat="1" ht="15.6" customHeight="1" outlineLevel="1" x14ac:dyDescent="0.25">
      <c r="A131" s="210"/>
      <c r="B131" s="216"/>
      <c r="C131" s="204" t="s">
        <v>96</v>
      </c>
      <c r="D131" s="210"/>
      <c r="E131" s="273"/>
      <c r="F131" s="259"/>
      <c r="G131" s="217">
        <v>16000</v>
      </c>
      <c r="H131" s="217">
        <f>7432.77+6*1050</f>
        <v>13732.77</v>
      </c>
      <c r="I131" s="218">
        <v>15000</v>
      </c>
      <c r="K131" s="332"/>
    </row>
    <row r="132" spans="1:11" ht="15.95" customHeight="1" outlineLevel="1" thickBot="1" x14ac:dyDescent="0.3">
      <c r="A132" s="210"/>
      <c r="B132" s="274"/>
      <c r="C132" s="233" t="s">
        <v>97</v>
      </c>
      <c r="D132" s="246"/>
      <c r="E132" s="246"/>
      <c r="F132" s="260"/>
      <c r="G132" s="234">
        <v>38000</v>
      </c>
      <c r="H132" s="234">
        <f>33451.42+6*800</f>
        <v>38251.42</v>
      </c>
      <c r="I132" s="256">
        <v>38000</v>
      </c>
      <c r="K132" s="332"/>
    </row>
    <row r="133" spans="1:11" ht="15.95" hidden="1" customHeight="1" x14ac:dyDescent="0.25">
      <c r="A133" s="204"/>
      <c r="B133" s="232" t="s">
        <v>117</v>
      </c>
      <c r="C133" s="233" t="s">
        <v>98</v>
      </c>
      <c r="D133" s="233"/>
      <c r="E133" s="233"/>
      <c r="F133" s="260"/>
      <c r="G133" s="234">
        <f>ROUND(SUM(G131:G132),5)</f>
        <v>54000</v>
      </c>
      <c r="H133" s="234">
        <f>ROUND(SUM(H131:H132),5)</f>
        <v>51984.19</v>
      </c>
      <c r="I133" s="256">
        <f>SUM(I131:I132)</f>
        <v>53000</v>
      </c>
      <c r="K133" s="332"/>
    </row>
    <row r="134" spans="1:11" ht="15.95" customHeight="1" thickBot="1" x14ac:dyDescent="0.3">
      <c r="A134" s="210"/>
      <c r="B134" s="261" t="s">
        <v>171</v>
      </c>
      <c r="C134" s="262"/>
      <c r="D134" s="262"/>
      <c r="E134" s="262"/>
      <c r="F134" s="262"/>
      <c r="G134" s="247">
        <f>G122-G130-G133</f>
        <v>1641</v>
      </c>
      <c r="H134" s="247">
        <f>H122-H130-H133</f>
        <v>-3936.2966699999961</v>
      </c>
      <c r="I134" s="248">
        <f>I122-I130-I133</f>
        <v>11063.703329999989</v>
      </c>
      <c r="K134" s="332"/>
    </row>
    <row r="135" spans="1:11" ht="7.5" customHeight="1" thickBot="1" x14ac:dyDescent="0.35"/>
    <row r="136" spans="1:11" ht="15.95" customHeight="1" x14ac:dyDescent="0.25">
      <c r="B136" s="211" t="s">
        <v>172</v>
      </c>
      <c r="C136" s="212"/>
      <c r="D136" s="213"/>
      <c r="E136" s="213"/>
      <c r="F136" s="306"/>
      <c r="G136" s="307">
        <v>104102</v>
      </c>
      <c r="H136" s="308">
        <v>103283</v>
      </c>
      <c r="I136" s="309">
        <f>H140</f>
        <v>100835</v>
      </c>
      <c r="K136" s="332" t="s">
        <v>192</v>
      </c>
    </row>
    <row r="137" spans="1:11" ht="15.6" customHeight="1" outlineLevel="1" x14ac:dyDescent="0.25">
      <c r="A137" s="210"/>
      <c r="B137" s="270"/>
      <c r="C137" s="204" t="s">
        <v>167</v>
      </c>
      <c r="E137" s="210"/>
      <c r="F137" s="273"/>
      <c r="G137" s="251"/>
      <c r="H137" s="277">
        <v>10000</v>
      </c>
      <c r="I137" s="280"/>
      <c r="K137" s="332"/>
    </row>
    <row r="138" spans="1:11" s="147" customFormat="1" ht="15.6" hidden="1" customHeight="1" outlineLevel="1" x14ac:dyDescent="0.25">
      <c r="A138" s="210"/>
      <c r="B138" s="216"/>
      <c r="C138" s="204" t="s">
        <v>96</v>
      </c>
      <c r="D138" s="210"/>
      <c r="E138" s="210"/>
      <c r="F138" s="278"/>
      <c r="G138" s="251"/>
      <c r="H138" s="279"/>
      <c r="I138" s="280">
        <v>0</v>
      </c>
      <c r="K138" s="332"/>
    </row>
    <row r="139" spans="1:11" ht="15.95" customHeight="1" outlineLevel="1" thickBot="1" x14ac:dyDescent="0.3">
      <c r="A139" s="210"/>
      <c r="B139" s="274"/>
      <c r="C139" s="233" t="s">
        <v>97</v>
      </c>
      <c r="D139" s="246"/>
      <c r="E139" s="246"/>
      <c r="F139" s="281"/>
      <c r="G139" s="282">
        <v>1404</v>
      </c>
      <c r="H139" s="283">
        <f>(813/0.75)+11200+164</f>
        <v>12448</v>
      </c>
      <c r="I139" s="284"/>
      <c r="K139" s="332"/>
    </row>
    <row r="140" spans="1:11" ht="15.95" customHeight="1" thickBot="1" x14ac:dyDescent="0.3">
      <c r="A140" s="210"/>
      <c r="B140" s="261" t="s">
        <v>173</v>
      </c>
      <c r="C140" s="262"/>
      <c r="D140" s="262"/>
      <c r="E140" s="262"/>
      <c r="F140" s="285"/>
      <c r="G140" s="286">
        <f>G136-G138-G139</f>
        <v>102698</v>
      </c>
      <c r="H140" s="287">
        <f>H136+H137-H138-H139</f>
        <v>100835</v>
      </c>
      <c r="I140" s="288">
        <f>I136-I138-I139</f>
        <v>100835</v>
      </c>
      <c r="K140" s="332"/>
    </row>
    <row r="141" spans="1:11" ht="21.95" customHeight="1" thickBot="1" x14ac:dyDescent="0.35"/>
    <row r="142" spans="1:11" ht="18" thickBot="1" x14ac:dyDescent="0.35">
      <c r="B142" s="315" t="s">
        <v>183</v>
      </c>
      <c r="C142" s="316"/>
      <c r="D142" s="316"/>
      <c r="E142" s="316"/>
      <c r="F142" s="317"/>
    </row>
    <row r="143" spans="1:11" ht="15.6" customHeight="1" outlineLevel="1" x14ac:dyDescent="0.25">
      <c r="B143" s="211" t="s">
        <v>174</v>
      </c>
      <c r="C143" s="212"/>
      <c r="D143" s="213"/>
      <c r="E143" s="213"/>
      <c r="F143" s="306"/>
      <c r="G143" s="307">
        <f>G136+G97+G77+G3</f>
        <v>334455</v>
      </c>
      <c r="H143" s="308">
        <f>H136+H97+H77+H3</f>
        <v>328934.58999999997</v>
      </c>
      <c r="I143" s="215">
        <f>I136+I97+I77+I3</f>
        <v>398106.32666000002</v>
      </c>
      <c r="K143" s="332" t="s">
        <v>193</v>
      </c>
    </row>
    <row r="144" spans="1:11" ht="15.6" hidden="1" customHeight="1" outlineLevel="3" x14ac:dyDescent="0.25">
      <c r="B144" s="216"/>
      <c r="C144" s="210"/>
      <c r="D144" s="210"/>
      <c r="E144" s="204" t="s">
        <v>5</v>
      </c>
      <c r="F144" s="273"/>
      <c r="G144" s="251">
        <f>G101+G7</f>
        <v>205000</v>
      </c>
      <c r="H144" s="279">
        <f>H101+H7</f>
        <v>208792</v>
      </c>
      <c r="I144" s="218">
        <f>I101+I7</f>
        <v>228000</v>
      </c>
      <c r="K144" s="332"/>
    </row>
    <row r="145" spans="1:11" ht="15.6" hidden="1" customHeight="1" outlineLevel="3" x14ac:dyDescent="0.25">
      <c r="B145" s="216"/>
      <c r="C145" s="210"/>
      <c r="D145" s="210"/>
      <c r="E145" s="204" t="s">
        <v>9</v>
      </c>
      <c r="F145" s="273"/>
      <c r="G145" s="251">
        <f>G8</f>
        <v>91000</v>
      </c>
      <c r="H145" s="279">
        <f>H8</f>
        <v>91810</v>
      </c>
      <c r="I145" s="218">
        <f>I8</f>
        <v>87000</v>
      </c>
      <c r="K145" s="332"/>
    </row>
    <row r="146" spans="1:11" ht="15.6" hidden="1" customHeight="1" outlineLevel="3" x14ac:dyDescent="0.25">
      <c r="B146" s="216"/>
      <c r="C146" s="210"/>
      <c r="D146" s="210"/>
      <c r="E146" s="204" t="s">
        <v>10</v>
      </c>
      <c r="F146" s="273"/>
      <c r="G146" s="251">
        <f>G105</f>
        <v>95000</v>
      </c>
      <c r="H146" s="279">
        <f>H105</f>
        <v>95324.333329999994</v>
      </c>
      <c r="I146" s="218">
        <f>I105</f>
        <v>125000</v>
      </c>
      <c r="K146" s="332"/>
    </row>
    <row r="147" spans="1:11" ht="15.6" hidden="1" customHeight="1" outlineLevel="3" x14ac:dyDescent="0.25">
      <c r="B147" s="216"/>
      <c r="C147" s="210"/>
      <c r="D147" s="210"/>
      <c r="E147" s="204" t="s">
        <v>14</v>
      </c>
      <c r="F147" s="273"/>
      <c r="G147" s="251">
        <f>G109+G16</f>
        <v>-3000</v>
      </c>
      <c r="H147" s="217">
        <f>H109+H16</f>
        <v>583.85332999999991</v>
      </c>
      <c r="I147" s="218">
        <f>I109+I16</f>
        <v>-1000</v>
      </c>
      <c r="K147" s="332"/>
    </row>
    <row r="148" spans="1:11" ht="15.95" hidden="1" customHeight="1" outlineLevel="3" thickBot="1" x14ac:dyDescent="0.3">
      <c r="B148" s="274"/>
      <c r="C148" s="246"/>
      <c r="D148" s="246"/>
      <c r="E148" s="233" t="s">
        <v>22</v>
      </c>
      <c r="F148" s="289"/>
      <c r="G148" s="282">
        <f>G17</f>
        <v>13500</v>
      </c>
      <c r="H148" s="283">
        <f>H17</f>
        <v>13495.34</v>
      </c>
      <c r="I148" s="256">
        <f>I17</f>
        <v>14352</v>
      </c>
      <c r="K148" s="332"/>
    </row>
    <row r="149" spans="1:11" ht="15.6" hidden="1" customHeight="1" outlineLevel="2" x14ac:dyDescent="0.25">
      <c r="B149" s="216"/>
      <c r="C149" s="210"/>
      <c r="D149" s="210" t="s">
        <v>23</v>
      </c>
      <c r="E149" s="210"/>
      <c r="F149" s="273"/>
      <c r="G149" s="265">
        <f t="shared" ref="G149" si="3">SUM(G144:G148)</f>
        <v>401500</v>
      </c>
      <c r="H149" s="290">
        <f t="shared" ref="H149" si="4">SUM(H144:H148)</f>
        <v>410005.52666000003</v>
      </c>
      <c r="I149" s="291">
        <f>SUM(I144:I148)</f>
        <v>453352</v>
      </c>
      <c r="K149" s="332"/>
    </row>
    <row r="150" spans="1:11" ht="15.6" hidden="1" customHeight="1" outlineLevel="2" x14ac:dyDescent="0.25">
      <c r="B150" s="216"/>
      <c r="C150" s="210"/>
      <c r="D150" s="210"/>
      <c r="E150" s="204" t="s">
        <v>116</v>
      </c>
      <c r="F150" s="273"/>
      <c r="G150" s="251">
        <f>G116</f>
        <v>0</v>
      </c>
      <c r="H150" s="279">
        <f>H116</f>
        <v>22015.82</v>
      </c>
      <c r="I150" s="218">
        <f>I116</f>
        <v>0</v>
      </c>
      <c r="K150" s="332"/>
    </row>
    <row r="151" spans="1:11" ht="15.95" hidden="1" customHeight="1" outlineLevel="2" thickBot="1" x14ac:dyDescent="0.3">
      <c r="B151" s="274"/>
      <c r="C151" s="246"/>
      <c r="D151" s="246"/>
      <c r="E151" s="233" t="s">
        <v>30</v>
      </c>
      <c r="F151" s="289"/>
      <c r="G151" s="282">
        <f>G21</f>
        <v>500</v>
      </c>
      <c r="H151" s="283">
        <f>H21</f>
        <v>417</v>
      </c>
      <c r="I151" s="256">
        <f>I21</f>
        <v>300</v>
      </c>
      <c r="K151" s="332"/>
    </row>
    <row r="152" spans="1:11" ht="15" outlineLevel="1" collapsed="1" x14ac:dyDescent="0.25">
      <c r="A152" s="238"/>
      <c r="B152" s="226"/>
      <c r="D152" s="204" t="s">
        <v>177</v>
      </c>
      <c r="E152" s="204"/>
      <c r="F152" s="292"/>
      <c r="G152" s="251">
        <f t="shared" ref="G152" si="5">SUM(G149:G151)</f>
        <v>402000</v>
      </c>
      <c r="H152" s="279">
        <f t="shared" ref="H152" si="6">SUM(H149:H151)</f>
        <v>432438.34666000004</v>
      </c>
      <c r="I152" s="218">
        <f>SUM(I149:I151)</f>
        <v>453652</v>
      </c>
      <c r="K152" s="332"/>
    </row>
    <row r="153" spans="1:11" ht="15.6" hidden="1" customHeight="1" outlineLevel="2" x14ac:dyDescent="0.25">
      <c r="B153" s="216"/>
      <c r="C153" s="210"/>
      <c r="D153" s="204" t="s">
        <v>36</v>
      </c>
      <c r="E153" s="210"/>
      <c r="F153" s="210"/>
      <c r="G153" s="251">
        <f>G118</f>
        <v>205</v>
      </c>
      <c r="H153" s="279">
        <f>H118</f>
        <v>8210.18</v>
      </c>
      <c r="I153" s="218">
        <f>I118</f>
        <v>12000</v>
      </c>
      <c r="K153" s="332"/>
    </row>
    <row r="154" spans="1:11" ht="15.6" hidden="1" customHeight="1" outlineLevel="2" x14ac:dyDescent="0.25">
      <c r="B154" s="221"/>
      <c r="C154" s="222"/>
      <c r="D154" s="223" t="s">
        <v>38</v>
      </c>
      <c r="E154" s="222"/>
      <c r="F154" s="293"/>
      <c r="G154" s="251">
        <f>G79+G120</f>
        <v>185000</v>
      </c>
      <c r="H154" s="279">
        <f>H79+H120</f>
        <v>83280.61</v>
      </c>
      <c r="I154" s="218">
        <f>I79+I120</f>
        <v>400000</v>
      </c>
      <c r="K154" s="332"/>
    </row>
    <row r="155" spans="1:11" ht="15" outlineLevel="1" collapsed="1" x14ac:dyDescent="0.25">
      <c r="B155" s="228"/>
      <c r="D155" s="223" t="s">
        <v>178</v>
      </c>
      <c r="E155" s="223"/>
      <c r="F155" s="299"/>
      <c r="G155" s="220">
        <f t="shared" ref="G155" si="7">ROUND(SUM(G153:G154),5)</f>
        <v>185205</v>
      </c>
      <c r="H155" s="220">
        <f t="shared" ref="H155" si="8">ROUND(SUM(H153:H154),5)</f>
        <v>91490.79</v>
      </c>
      <c r="I155" s="218">
        <f>ROUND(SUM(I153:I154),5)</f>
        <v>412000</v>
      </c>
      <c r="K155" s="332"/>
    </row>
    <row r="156" spans="1:11" ht="15.6" customHeight="1" x14ac:dyDescent="0.25">
      <c r="B156" s="229"/>
      <c r="C156" s="230" t="s">
        <v>40</v>
      </c>
      <c r="D156" s="204"/>
      <c r="E156" s="204"/>
      <c r="F156" s="204"/>
      <c r="G156" s="217">
        <f>ROUND(SUM(G143:G143)+G152+G155,5)</f>
        <v>921660</v>
      </c>
      <c r="H156" s="279">
        <f>ROUND(SUM(H143:H143)+H152+H155,5)</f>
        <v>852863.72666000004</v>
      </c>
      <c r="I156" s="239">
        <f>ROUND(SUM(I143:I143)+I152+I155,5)</f>
        <v>1263758.32666</v>
      </c>
      <c r="K156" s="332"/>
    </row>
    <row r="157" spans="1:11" s="147" customFormat="1" ht="15.6" customHeight="1" outlineLevel="3" x14ac:dyDescent="0.25">
      <c r="A157" s="210"/>
      <c r="B157" s="226"/>
      <c r="D157" s="204" t="s">
        <v>42</v>
      </c>
      <c r="E157" s="204"/>
      <c r="F157" s="204"/>
      <c r="G157" s="217">
        <f>G32</f>
        <v>132878</v>
      </c>
      <c r="H157" s="279">
        <f>H32</f>
        <v>130600</v>
      </c>
      <c r="I157" s="218">
        <f>I32</f>
        <v>140750</v>
      </c>
      <c r="K157" s="332"/>
    </row>
    <row r="158" spans="1:11" ht="15.6" customHeight="1" outlineLevel="3" x14ac:dyDescent="0.25">
      <c r="A158" s="210"/>
      <c r="B158" s="226"/>
      <c r="D158" s="204" t="s">
        <v>48</v>
      </c>
      <c r="E158" s="204"/>
      <c r="F158" s="292"/>
      <c r="G158" s="251">
        <f>G47</f>
        <v>33100</v>
      </c>
      <c r="H158" s="279">
        <f>H47</f>
        <v>34404.870000000003</v>
      </c>
      <c r="I158" s="218">
        <f>I47</f>
        <v>41700</v>
      </c>
      <c r="K158" s="332"/>
    </row>
    <row r="159" spans="1:11" ht="15.6" customHeight="1" outlineLevel="3" x14ac:dyDescent="0.25">
      <c r="A159" s="210"/>
      <c r="B159" s="226"/>
      <c r="D159" s="204" t="s">
        <v>63</v>
      </c>
      <c r="E159" s="204"/>
      <c r="F159" s="292"/>
      <c r="G159" s="251">
        <f>G65</f>
        <v>55151</v>
      </c>
      <c r="H159" s="279">
        <f>H65</f>
        <v>57668.78</v>
      </c>
      <c r="I159" s="218">
        <f>I65</f>
        <v>48070</v>
      </c>
      <c r="K159" s="332"/>
    </row>
    <row r="160" spans="1:11" s="147" customFormat="1" ht="15.6" customHeight="1" outlineLevel="3" x14ac:dyDescent="0.25">
      <c r="A160" s="210"/>
      <c r="B160" s="226"/>
      <c r="D160" s="204" t="s">
        <v>81</v>
      </c>
      <c r="E160" s="204"/>
      <c r="F160" s="292"/>
      <c r="G160" s="251">
        <f>G70</f>
        <v>29100</v>
      </c>
      <c r="H160" s="279">
        <f>H70</f>
        <v>17932.95</v>
      </c>
      <c r="I160" s="218">
        <f>I70</f>
        <v>29900</v>
      </c>
      <c r="K160" s="332"/>
    </row>
    <row r="161" spans="1:11" ht="15.6" customHeight="1" outlineLevel="3" x14ac:dyDescent="0.25">
      <c r="B161" s="226"/>
      <c r="D161" s="204" t="s">
        <v>108</v>
      </c>
      <c r="E161" s="204"/>
      <c r="F161" s="292"/>
      <c r="G161" s="249">
        <f>G130+G90</f>
        <v>228000</v>
      </c>
      <c r="H161" s="259">
        <f>H130+H90</f>
        <v>149718.60999999999</v>
      </c>
      <c r="I161" s="218">
        <f>I130+I90</f>
        <v>536500</v>
      </c>
      <c r="K161" s="332"/>
    </row>
    <row r="162" spans="1:11" ht="15.95" customHeight="1" outlineLevel="3" x14ac:dyDescent="0.25">
      <c r="A162" s="204"/>
      <c r="B162" s="302"/>
      <c r="D162" s="223" t="s">
        <v>95</v>
      </c>
      <c r="E162" s="223"/>
      <c r="F162" s="303"/>
      <c r="G162" s="304">
        <f>G139+G138+G133+G94</f>
        <v>64404</v>
      </c>
      <c r="H162" s="305">
        <f>H139+H138+H133+H94</f>
        <v>64432.19</v>
      </c>
      <c r="I162" s="225">
        <f>I139+I138+I133+I94</f>
        <v>63000</v>
      </c>
      <c r="K162" s="332"/>
    </row>
    <row r="163" spans="1:11" s="147" customFormat="1" ht="15.95" customHeight="1" thickBot="1" x14ac:dyDescent="0.3">
      <c r="A163" s="210"/>
      <c r="B163" s="300"/>
      <c r="C163" s="314" t="s">
        <v>99</v>
      </c>
      <c r="D163" s="233"/>
      <c r="E163" s="233"/>
      <c r="F163" s="301"/>
      <c r="G163" s="282">
        <f t="shared" ref="G163" si="9">SUM(G157:G162)</f>
        <v>542633</v>
      </c>
      <c r="H163" s="283">
        <f t="shared" ref="H163" si="10">SUM(H157:H162)</f>
        <v>454757.39999999997</v>
      </c>
      <c r="I163" s="256">
        <f>SUM(I157:I162)</f>
        <v>859920</v>
      </c>
      <c r="K163" s="332"/>
    </row>
    <row r="164" spans="1:11" s="149" customFormat="1" ht="21" customHeight="1" thickBot="1" x14ac:dyDescent="0.3">
      <c r="A164" s="295"/>
      <c r="B164" s="296" t="s">
        <v>175</v>
      </c>
      <c r="C164" s="297"/>
      <c r="D164" s="297"/>
      <c r="E164" s="297"/>
      <c r="F164" s="298"/>
      <c r="G164" s="275">
        <f>G156-G163</f>
        <v>379027</v>
      </c>
      <c r="H164" s="276">
        <f>H156-H163</f>
        <v>398106.32666000008</v>
      </c>
      <c r="I164" s="294">
        <f>I156-I163</f>
        <v>403838.32666000002</v>
      </c>
      <c r="K164" s="332"/>
    </row>
  </sheetData>
  <mergeCells count="7">
    <mergeCell ref="K143:K164"/>
    <mergeCell ref="B142:F142"/>
    <mergeCell ref="B2:F2"/>
    <mergeCell ref="K7:K72"/>
    <mergeCell ref="K77:K95"/>
    <mergeCell ref="K97:K134"/>
    <mergeCell ref="K136:K140"/>
  </mergeCells>
  <pageMargins left="0.25" right="0.25" top="0.5" bottom="0" header="0.1" footer="0.05"/>
  <pageSetup scale="62" fitToWidth="0" orientation="portrait" r:id="rId1"/>
  <drawing r:id="rId2"/>
  <legacyDrawing r:id="rId3"/>
  <controls>
    <mc:AlternateContent xmlns:mc="http://schemas.openxmlformats.org/markup-compatibility/2006">
      <mc:Choice Requires="x14">
        <control shapeId="3074" r:id="rId4" name="HEADER">
          <controlPr defaultSize="0" autoLine="0" autoPict="0" r:id="rId5">
            <anchor moveWithCells="1">
              <from>
                <xdr:col>0</xdr:col>
                <xdr:colOff>0</xdr:colOff>
                <xdr:row>1</xdr:row>
                <xdr:rowOff>0</xdr:rowOff>
              </from>
              <to>
                <xdr:col>3</xdr:col>
                <xdr:colOff>0</xdr:colOff>
                <xdr:row>1</xdr:row>
                <xdr:rowOff>219075</xdr:rowOff>
              </to>
            </anchor>
          </controlPr>
        </control>
      </mc:Choice>
      <mc:Fallback>
        <control shapeId="3074" r:id="rId4" name="HEADER"/>
      </mc:Fallback>
    </mc:AlternateContent>
    <mc:AlternateContent xmlns:mc="http://schemas.openxmlformats.org/markup-compatibility/2006">
      <mc:Choice Requires="x14">
        <control shapeId="3073" r:id="rId6" name="FILTER">
          <controlPr defaultSize="0" autoLine="0" autoPict="0" r:id="rId7">
            <anchor moveWithCells="1">
              <from>
                <xdr:col>0</xdr:col>
                <xdr:colOff>0</xdr:colOff>
                <xdr:row>1</xdr:row>
                <xdr:rowOff>0</xdr:rowOff>
              </from>
              <to>
                <xdr:col>3</xdr:col>
                <xdr:colOff>0</xdr:colOff>
                <xdr:row>1</xdr:row>
                <xdr:rowOff>219075</xdr:rowOff>
              </to>
            </anchor>
          </controlPr>
        </control>
      </mc:Choice>
      <mc:Fallback>
        <control shapeId="3073" r:id="rId6" name="FILTER"/>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C9095-05CC-44B1-8FA0-2DA5B6641123}">
  <sheetPr codeName="Sheet18"/>
  <dimension ref="A1:X181"/>
  <sheetViews>
    <sheetView showGridLines="0" showRuler="0" showWhiteSpace="0" zoomScale="110" zoomScaleNormal="115" zoomScalePageLayoutView="124" workbookViewId="0">
      <selection activeCell="N115" sqref="N115"/>
    </sheetView>
  </sheetViews>
  <sheetFormatPr defaultColWidth="8.7109375" defaultRowHeight="15.75" outlineLevelRow="4" x14ac:dyDescent="0.25"/>
  <cols>
    <col min="1" max="1" width="3" style="1" customWidth="1"/>
    <col min="2" max="5" width="2.7109375" style="1" customWidth="1"/>
    <col min="6" max="6" width="34" style="1" customWidth="1"/>
    <col min="7" max="8" width="12.140625" style="2" customWidth="1"/>
    <col min="9" max="9" width="13.42578125" style="2" customWidth="1"/>
    <col min="10" max="10" width="12.140625" style="2" customWidth="1"/>
    <col min="11" max="11" width="7.42578125" style="3" customWidth="1"/>
    <col min="12" max="12" width="12.85546875" style="2" customWidth="1"/>
    <col min="13" max="13" width="7.42578125" style="3" customWidth="1"/>
    <col min="14" max="14" width="12.85546875" style="2" customWidth="1"/>
    <col min="15" max="15" width="13.140625" style="2" customWidth="1"/>
    <col min="16" max="16" width="13.5703125" style="2" customWidth="1"/>
    <col min="17" max="17" width="12.85546875" style="2" customWidth="1"/>
    <col min="18" max="18" width="16.5703125" style="2" customWidth="1"/>
    <col min="19" max="20" width="12.140625" style="2" customWidth="1"/>
    <col min="21" max="21" width="13.5703125" style="2" customWidth="1"/>
    <col min="22" max="23" width="12.85546875" style="2" customWidth="1"/>
    <col min="24" max="24" width="8.7109375" style="4" hidden="1" customWidth="1"/>
    <col min="25" max="25" width="80.85546875" style="2" bestFit="1" customWidth="1"/>
    <col min="26" max="16384" width="8.7109375" style="2"/>
  </cols>
  <sheetData>
    <row r="1" spans="1:24" ht="16.5" thickBot="1" x14ac:dyDescent="0.3">
      <c r="B1" s="203" t="s">
        <v>157</v>
      </c>
    </row>
    <row r="2" spans="1:24" s="9" customFormat="1" x14ac:dyDescent="0.25">
      <c r="A2" s="5"/>
      <c r="B2" s="323" t="s">
        <v>146</v>
      </c>
      <c r="C2" s="324"/>
      <c r="D2" s="324"/>
      <c r="E2" s="324"/>
      <c r="F2" s="325"/>
      <c r="G2" s="326" t="s">
        <v>0</v>
      </c>
      <c r="H2" s="327"/>
      <c r="I2" s="327"/>
      <c r="J2" s="327"/>
      <c r="K2" s="327"/>
      <c r="L2" s="327"/>
      <c r="M2" s="328"/>
    </row>
    <row r="3" spans="1:24" s="17" customFormat="1" ht="16.5" thickBot="1" x14ac:dyDescent="0.3">
      <c r="A3" s="10"/>
      <c r="B3" s="320" t="s">
        <v>147</v>
      </c>
      <c r="C3" s="321"/>
      <c r="D3" s="321"/>
      <c r="E3" s="321"/>
      <c r="F3" s="322"/>
      <c r="G3" s="11" t="s">
        <v>2</v>
      </c>
      <c r="H3" s="12" t="s">
        <v>3</v>
      </c>
      <c r="I3" s="181" t="s">
        <v>104</v>
      </c>
      <c r="J3" s="13" t="s">
        <v>101</v>
      </c>
      <c r="K3" s="14" t="s">
        <v>111</v>
      </c>
      <c r="L3" s="15" t="s">
        <v>102</v>
      </c>
      <c r="M3" s="16" t="s">
        <v>111</v>
      </c>
    </row>
    <row r="4" spans="1:24" outlineLevel="1" x14ac:dyDescent="0.25">
      <c r="A4" s="5"/>
      <c r="B4" s="18" t="s">
        <v>4</v>
      </c>
      <c r="D4" s="5"/>
      <c r="E4" s="5"/>
      <c r="F4" s="5"/>
      <c r="G4" s="19">
        <v>28695</v>
      </c>
      <c r="H4" s="20">
        <v>-2994</v>
      </c>
      <c r="I4" s="33">
        <v>2989.16</v>
      </c>
      <c r="J4" s="21">
        <v>1896</v>
      </c>
      <c r="K4" s="22">
        <f>(I4-J4)/J4</f>
        <v>0.57656118143459911</v>
      </c>
      <c r="L4" s="23">
        <f>I75</f>
        <v>3728.7333299999882</v>
      </c>
      <c r="M4" s="24">
        <f>(L4-I4)/I4</f>
        <v>0.24741844866115845</v>
      </c>
      <c r="X4" s="2"/>
    </row>
    <row r="5" spans="1:24" outlineLevel="4" x14ac:dyDescent="0.25">
      <c r="A5" s="5"/>
      <c r="B5" s="18"/>
      <c r="C5" s="5"/>
      <c r="D5" s="5"/>
      <c r="E5" s="25" t="s">
        <v>5</v>
      </c>
      <c r="F5" s="5"/>
      <c r="G5" s="19"/>
      <c r="H5" s="20"/>
      <c r="I5" s="33"/>
      <c r="J5" s="21"/>
      <c r="K5" s="22"/>
      <c r="L5" s="23"/>
      <c r="M5" s="24"/>
      <c r="X5" s="2"/>
    </row>
    <row r="6" spans="1:24" outlineLevel="4" x14ac:dyDescent="0.25">
      <c r="A6" s="5"/>
      <c r="B6" s="18"/>
      <c r="C6" s="5"/>
      <c r="D6" s="5"/>
      <c r="E6" s="5"/>
      <c r="F6" s="25" t="s">
        <v>6</v>
      </c>
      <c r="G6" s="23">
        <v>176657.06</v>
      </c>
      <c r="H6" s="21">
        <v>178277.12</v>
      </c>
      <c r="I6" s="33">
        <f>146184/0.75</f>
        <v>194912</v>
      </c>
      <c r="J6" s="21">
        <v>190000</v>
      </c>
      <c r="K6" s="22">
        <f t="shared" ref="K6:K27" si="0">(I6-J6)/J6</f>
        <v>2.585263157894737E-2</v>
      </c>
      <c r="L6" s="26">
        <v>211000</v>
      </c>
      <c r="M6" s="24">
        <f>(J6-L6)/L6</f>
        <v>-9.9526066350710901E-2</v>
      </c>
      <c r="X6" s="2"/>
    </row>
    <row r="7" spans="1:24" outlineLevel="4" x14ac:dyDescent="0.25">
      <c r="A7" s="5"/>
      <c r="B7" s="18"/>
      <c r="C7" s="5"/>
      <c r="D7" s="5"/>
      <c r="E7" s="5"/>
      <c r="F7" s="25" t="s">
        <v>7</v>
      </c>
      <c r="G7" s="27">
        <v>816</v>
      </c>
      <c r="H7" s="28">
        <v>816</v>
      </c>
      <c r="I7" s="183">
        <f>660/0.75</f>
        <v>880</v>
      </c>
      <c r="J7" s="28">
        <v>0</v>
      </c>
      <c r="K7" s="29"/>
      <c r="L7" s="26">
        <v>1000</v>
      </c>
      <c r="M7" s="30"/>
      <c r="X7" s="2"/>
    </row>
    <row r="8" spans="1:24" ht="21.6" customHeight="1" outlineLevel="3" x14ac:dyDescent="0.25">
      <c r="A8" s="5"/>
      <c r="B8" s="18"/>
      <c r="C8" s="5"/>
      <c r="D8" s="5"/>
      <c r="E8" s="25" t="s">
        <v>5</v>
      </c>
      <c r="F8" s="5"/>
      <c r="G8" s="23">
        <f>ROUND(SUM(G5:G7),5)</f>
        <v>177473.06</v>
      </c>
      <c r="H8" s="21">
        <f>ROUND(SUM(H5:H7),5)</f>
        <v>179093.12</v>
      </c>
      <c r="I8" s="33">
        <f>ROUND(SUM(I5:I7),5)</f>
        <v>195792</v>
      </c>
      <c r="J8" s="21">
        <f>ROUND(SUM(J5:J7),5)</f>
        <v>190000</v>
      </c>
      <c r="K8" s="22">
        <f t="shared" si="0"/>
        <v>3.0484210526315791E-2</v>
      </c>
      <c r="L8" s="23">
        <f>ROUND(SUM(L5:L7),5)</f>
        <v>212000</v>
      </c>
      <c r="M8" s="24">
        <f t="shared" ref="M8:M27" si="1">(L8-I8)/I8</f>
        <v>8.2781727547601533E-2</v>
      </c>
      <c r="N8" s="2" t="s">
        <v>118</v>
      </c>
      <c r="X8" s="2"/>
    </row>
    <row r="9" spans="1:24" outlineLevel="3" x14ac:dyDescent="0.25">
      <c r="A9" s="5"/>
      <c r="B9" s="18"/>
      <c r="C9" s="5"/>
      <c r="D9" s="5"/>
      <c r="E9" s="25" t="s">
        <v>9</v>
      </c>
      <c r="F9" s="5"/>
      <c r="G9" s="23">
        <v>60897.82</v>
      </c>
      <c r="H9" s="21">
        <v>77333.710000000006</v>
      </c>
      <c r="I9" s="33">
        <f>72310+(650000*0.03)</f>
        <v>91810</v>
      </c>
      <c r="J9" s="21">
        <v>91000</v>
      </c>
      <c r="K9" s="31">
        <f t="shared" si="0"/>
        <v>8.9010989010989017E-3</v>
      </c>
      <c r="L9" s="26">
        <v>87000</v>
      </c>
      <c r="M9" s="32">
        <f t="shared" si="1"/>
        <v>-5.2390807101622916E-2</v>
      </c>
      <c r="N9" s="2" t="s">
        <v>119</v>
      </c>
      <c r="X9" s="2"/>
    </row>
    <row r="10" spans="1:24" outlineLevel="4" x14ac:dyDescent="0.25">
      <c r="A10" s="5"/>
      <c r="B10" s="18"/>
      <c r="C10" s="5"/>
      <c r="D10" s="5"/>
      <c r="E10" s="25" t="s">
        <v>14</v>
      </c>
      <c r="F10" s="5"/>
      <c r="G10" s="19"/>
      <c r="H10" s="20"/>
      <c r="I10" s="33"/>
      <c r="J10" s="21"/>
      <c r="K10" s="31"/>
      <c r="L10" s="23"/>
      <c r="M10" s="32"/>
      <c r="X10" s="2"/>
    </row>
    <row r="11" spans="1:24" outlineLevel="4" x14ac:dyDescent="0.25">
      <c r="A11" s="5"/>
      <c r="B11" s="18"/>
      <c r="C11" s="5"/>
      <c r="D11" s="5"/>
      <c r="E11" s="5"/>
      <c r="F11" s="25" t="s">
        <v>15</v>
      </c>
      <c r="G11" s="23">
        <v>0</v>
      </c>
      <c r="H11" s="21">
        <v>-2250.02</v>
      </c>
      <c r="I11" s="33">
        <f>-439.7-600</f>
        <v>-1039.7</v>
      </c>
      <c r="J11" s="21"/>
      <c r="K11" s="22"/>
      <c r="L11" s="26"/>
      <c r="M11" s="24">
        <f t="shared" si="1"/>
        <v>-1</v>
      </c>
      <c r="X11" s="2"/>
    </row>
    <row r="12" spans="1:24" outlineLevel="4" x14ac:dyDescent="0.25">
      <c r="A12" s="5"/>
      <c r="B12" s="18"/>
      <c r="C12" s="5"/>
      <c r="D12" s="5"/>
      <c r="E12" s="5"/>
      <c r="F12" s="25" t="s">
        <v>16</v>
      </c>
      <c r="G12" s="23">
        <v>0</v>
      </c>
      <c r="H12" s="21">
        <v>-252.69</v>
      </c>
      <c r="I12" s="33">
        <f>-24.42-175</f>
        <v>-199.42000000000002</v>
      </c>
      <c r="J12" s="21"/>
      <c r="K12" s="22"/>
      <c r="L12" s="26"/>
      <c r="M12" s="24">
        <f t="shared" si="1"/>
        <v>-1</v>
      </c>
      <c r="X12" s="2"/>
    </row>
    <row r="13" spans="1:24" outlineLevel="4" x14ac:dyDescent="0.25">
      <c r="A13" s="5"/>
      <c r="B13" s="18"/>
      <c r="C13" s="5"/>
      <c r="D13" s="5"/>
      <c r="E13" s="5"/>
      <c r="F13" s="25" t="s">
        <v>17</v>
      </c>
      <c r="G13" s="23">
        <v>0</v>
      </c>
      <c r="H13" s="21">
        <v>0</v>
      </c>
      <c r="I13" s="33">
        <f>-334/0.75</f>
        <v>-445.33333333333331</v>
      </c>
      <c r="J13" s="21">
        <v>-3000</v>
      </c>
      <c r="K13" s="22">
        <f t="shared" si="0"/>
        <v>-0.85155555555555551</v>
      </c>
      <c r="L13" s="26">
        <v>-1000</v>
      </c>
      <c r="M13" s="24">
        <f t="shared" si="1"/>
        <v>1.2455089820359284</v>
      </c>
      <c r="X13" s="2"/>
    </row>
    <row r="14" spans="1:24" outlineLevel="4" x14ac:dyDescent="0.25">
      <c r="A14" s="5"/>
      <c r="B14" s="18"/>
      <c r="C14" s="5"/>
      <c r="D14" s="5"/>
      <c r="E14" s="5"/>
      <c r="F14" s="25" t="s">
        <v>18</v>
      </c>
      <c r="G14" s="23">
        <v>0</v>
      </c>
      <c r="H14" s="21">
        <v>-797.01</v>
      </c>
      <c r="I14" s="33">
        <f>-606.38-400</f>
        <v>-1006.38</v>
      </c>
      <c r="J14" s="21">
        <v>0</v>
      </c>
      <c r="K14" s="22"/>
      <c r="L14" s="26"/>
      <c r="M14" s="24">
        <f t="shared" si="1"/>
        <v>-1</v>
      </c>
      <c r="X14" s="2"/>
    </row>
    <row r="15" spans="1:24" outlineLevel="4" x14ac:dyDescent="0.25">
      <c r="A15" s="5"/>
      <c r="B15" s="18"/>
      <c r="C15" s="5"/>
      <c r="D15" s="5"/>
      <c r="E15" s="5"/>
      <c r="F15" s="25" t="s">
        <v>19</v>
      </c>
      <c r="G15" s="23">
        <v>1509.88</v>
      </c>
      <c r="H15" s="21">
        <v>3145.57</v>
      </c>
      <c r="I15" s="33">
        <f>1892/0.75</f>
        <v>2522.6666666666665</v>
      </c>
      <c r="J15" s="21">
        <v>0</v>
      </c>
      <c r="K15" s="22"/>
      <c r="L15" s="26"/>
      <c r="M15" s="24">
        <f t="shared" si="1"/>
        <v>-1</v>
      </c>
      <c r="X15" s="2"/>
    </row>
    <row r="16" spans="1:24" outlineLevel="4" x14ac:dyDescent="0.25">
      <c r="A16" s="5"/>
      <c r="B16" s="18"/>
      <c r="C16" s="5"/>
      <c r="D16" s="5"/>
      <c r="E16" s="5"/>
      <c r="F16" s="25" t="s">
        <v>20</v>
      </c>
      <c r="G16" s="27">
        <v>0</v>
      </c>
      <c r="H16" s="28">
        <v>0</v>
      </c>
      <c r="I16" s="183">
        <v>0</v>
      </c>
      <c r="J16" s="28">
        <v>0</v>
      </c>
      <c r="K16" s="29"/>
      <c r="L16" s="26"/>
      <c r="M16" s="30"/>
      <c r="X16" s="2"/>
    </row>
    <row r="17" spans="1:24" outlineLevel="3" x14ac:dyDescent="0.25">
      <c r="A17" s="5"/>
      <c r="B17" s="18"/>
      <c r="C17" s="5"/>
      <c r="D17" s="5"/>
      <c r="E17" s="25" t="s">
        <v>112</v>
      </c>
      <c r="F17" s="5"/>
      <c r="G17" s="23">
        <f>ROUND(SUM(G10:G16),5)</f>
        <v>1509.88</v>
      </c>
      <c r="H17" s="21">
        <f>ROUND(SUM(H10:H16),5)</f>
        <v>-154.15</v>
      </c>
      <c r="I17" s="33">
        <f>ROUND(SUM(I10:I16),5)</f>
        <v>-168.16667000000001</v>
      </c>
      <c r="J17" s="21">
        <f>ROUND(SUM(J10:J16),5)</f>
        <v>-3000</v>
      </c>
      <c r="K17" s="22">
        <f t="shared" si="0"/>
        <v>-0.94394444333333327</v>
      </c>
      <c r="L17" s="23">
        <f>ROUND(SUM(L10:L16),5)</f>
        <v>-1000</v>
      </c>
      <c r="M17" s="24">
        <f t="shared" si="1"/>
        <v>4.9464815471460541</v>
      </c>
      <c r="N17" s="2" t="s">
        <v>120</v>
      </c>
      <c r="X17" s="2"/>
    </row>
    <row r="18" spans="1:24" ht="16.5" outlineLevel="3" thickBot="1" x14ac:dyDescent="0.3">
      <c r="A18" s="5"/>
      <c r="B18" s="35"/>
      <c r="C18" s="36"/>
      <c r="D18" s="36"/>
      <c r="E18" s="37" t="s">
        <v>22</v>
      </c>
      <c r="F18" s="38"/>
      <c r="G18" s="39">
        <v>11425.6</v>
      </c>
      <c r="H18" s="40">
        <v>12346.04</v>
      </c>
      <c r="I18" s="66">
        <f>7495.34+(6*1000)</f>
        <v>13495.34</v>
      </c>
      <c r="J18" s="40">
        <v>13500</v>
      </c>
      <c r="K18" s="41">
        <f t="shared" si="0"/>
        <v>-3.451851851851744E-4</v>
      </c>
      <c r="L18" s="42">
        <f>0.048*(L8+L9)</f>
        <v>14352</v>
      </c>
      <c r="M18" s="43">
        <f t="shared" si="1"/>
        <v>6.3478208033291475E-2</v>
      </c>
      <c r="X18" s="2"/>
    </row>
    <row r="19" spans="1:24" s="9" customFormat="1" outlineLevel="2" x14ac:dyDescent="0.25">
      <c r="A19" s="5"/>
      <c r="B19" s="18"/>
      <c r="C19" s="5"/>
      <c r="D19" s="5" t="s">
        <v>23</v>
      </c>
      <c r="E19" s="5"/>
      <c r="F19" s="5"/>
      <c r="G19" s="44">
        <f>ROUND(SUM(G8:G9)+SUM(G17:G18),5)</f>
        <v>251306.36</v>
      </c>
      <c r="H19" s="45">
        <f>ROUND(SUM(H8:H9)+SUM(H17:H18),5)</f>
        <v>268618.71999999997</v>
      </c>
      <c r="I19" s="64">
        <f>ROUND(SUM(I8:I9)+SUM(I17:I18),5)</f>
        <v>300929.17333000002</v>
      </c>
      <c r="J19" s="45">
        <f>ROUND(SUM(J8:J9)+SUM(J17:J18),5)</f>
        <v>291500</v>
      </c>
      <c r="K19" s="46">
        <f t="shared" si="0"/>
        <v>3.2347078319039518E-2</v>
      </c>
      <c r="L19" s="44">
        <f>ROUND(SUM(L8:L9)+SUM(L17:L18),5)</f>
        <v>312352</v>
      </c>
      <c r="M19" s="47">
        <f t="shared" si="1"/>
        <v>3.7958522078793827E-2</v>
      </c>
    </row>
    <row r="20" spans="1:24" s="9" customFormat="1" outlineLevel="3" x14ac:dyDescent="0.25">
      <c r="A20" s="5"/>
      <c r="B20" s="18"/>
      <c r="C20" s="5"/>
      <c r="D20" s="5"/>
      <c r="E20" s="25" t="s">
        <v>31</v>
      </c>
      <c r="F20" s="5"/>
      <c r="G20" s="19">
        <v>245</v>
      </c>
      <c r="H20" s="20">
        <v>155</v>
      </c>
      <c r="I20" s="33">
        <f>155+130</f>
        <v>285</v>
      </c>
      <c r="J20" s="21">
        <v>0</v>
      </c>
      <c r="K20" s="22">
        <v>1</v>
      </c>
      <c r="L20" s="26">
        <v>150</v>
      </c>
      <c r="M20" s="24">
        <f t="shared" si="1"/>
        <v>-0.47368421052631576</v>
      </c>
    </row>
    <row r="21" spans="1:24" outlineLevel="3" x14ac:dyDescent="0.25">
      <c r="A21" s="5"/>
      <c r="B21" s="18"/>
      <c r="C21" s="5"/>
      <c r="D21" s="5"/>
      <c r="E21" s="25" t="s">
        <v>32</v>
      </c>
      <c r="F21" s="5"/>
      <c r="G21" s="23">
        <v>123</v>
      </c>
      <c r="H21" s="21">
        <v>99</v>
      </c>
      <c r="I21" s="33">
        <f>66*2</f>
        <v>132</v>
      </c>
      <c r="J21" s="21">
        <v>500</v>
      </c>
      <c r="K21" s="29">
        <f t="shared" si="0"/>
        <v>-0.73599999999999999</v>
      </c>
      <c r="L21" s="26">
        <v>150</v>
      </c>
      <c r="M21" s="30">
        <f t="shared" si="1"/>
        <v>0.13636363636363635</v>
      </c>
      <c r="X21" s="2"/>
    </row>
    <row r="22" spans="1:24" ht="16.5" outlineLevel="2" thickBot="1" x14ac:dyDescent="0.3">
      <c r="A22" s="5"/>
      <c r="B22" s="35"/>
      <c r="C22" s="36"/>
      <c r="D22" s="37" t="s">
        <v>33</v>
      </c>
      <c r="E22" s="36"/>
      <c r="F22" s="38"/>
      <c r="G22" s="39">
        <f>ROUND(SUM(G20:G21),5)</f>
        <v>368</v>
      </c>
      <c r="H22" s="40">
        <f>ROUND(SUM(H20:H21),5)</f>
        <v>254</v>
      </c>
      <c r="I22" s="66">
        <f>ROUND(SUM(I20:I21),5)</f>
        <v>417</v>
      </c>
      <c r="J22" s="40">
        <f>ROUND(SUM(J20:J21),5)</f>
        <v>500</v>
      </c>
      <c r="K22" s="41">
        <f t="shared" si="0"/>
        <v>-0.16600000000000001</v>
      </c>
      <c r="L22" s="39">
        <f>ROUND(SUM(L20:L21),5)</f>
        <v>300</v>
      </c>
      <c r="M22" s="43">
        <f t="shared" si="1"/>
        <v>-0.2805755395683453</v>
      </c>
      <c r="X22" s="2"/>
    </row>
    <row r="23" spans="1:24" outlineLevel="1" x14ac:dyDescent="0.25">
      <c r="A23" s="5"/>
      <c r="B23" s="18"/>
      <c r="C23" s="5" t="s">
        <v>34</v>
      </c>
      <c r="D23" s="5"/>
      <c r="E23" s="5"/>
      <c r="F23" s="5"/>
      <c r="G23" s="44">
        <f>ROUND(G19+G22,5)</f>
        <v>251674.36</v>
      </c>
      <c r="H23" s="45">
        <f>ROUND(H19+H22,5)</f>
        <v>268872.71999999997</v>
      </c>
      <c r="I23" s="64">
        <f>ROUND(I19+I22,5)</f>
        <v>301346.17333000002</v>
      </c>
      <c r="J23" s="201">
        <f>ROUND(J19+J22,5)</f>
        <v>292000</v>
      </c>
      <c r="K23" s="46">
        <f t="shared" si="0"/>
        <v>3.2007442910958972E-2</v>
      </c>
      <c r="L23" s="44">
        <f>ROUND(L19+L22,5)</f>
        <v>312652</v>
      </c>
      <c r="M23" s="47">
        <f t="shared" si="1"/>
        <v>3.7517737640620795E-2</v>
      </c>
      <c r="X23" s="2"/>
    </row>
    <row r="24" spans="1:24" outlineLevel="2" x14ac:dyDescent="0.25">
      <c r="A24" s="5"/>
      <c r="B24" s="18"/>
      <c r="C24" s="5"/>
      <c r="D24" s="25" t="s">
        <v>37</v>
      </c>
      <c r="E24" s="5"/>
      <c r="F24" s="5"/>
      <c r="G24" s="23">
        <v>-40000</v>
      </c>
      <c r="H24" s="21">
        <v>-40000.03</v>
      </c>
      <c r="I24" s="197">
        <f>-40000-10000-10000</f>
        <v>-60000</v>
      </c>
      <c r="J24" s="21">
        <v>-40000</v>
      </c>
      <c r="K24" s="22">
        <f t="shared" si="0"/>
        <v>0.5</v>
      </c>
      <c r="L24" s="26">
        <v>-60000</v>
      </c>
      <c r="M24" s="24">
        <f t="shared" si="1"/>
        <v>0</v>
      </c>
      <c r="N24" s="2" t="s">
        <v>121</v>
      </c>
      <c r="X24" s="2"/>
    </row>
    <row r="25" spans="1:24" outlineLevel="2" x14ac:dyDescent="0.25">
      <c r="A25" s="5"/>
      <c r="B25" s="18"/>
      <c r="C25" s="5"/>
      <c r="D25" s="25" t="s">
        <v>38</v>
      </c>
      <c r="E25" s="5"/>
      <c r="F25" s="5"/>
      <c r="G25" s="128"/>
      <c r="I25" s="33">
        <v>0</v>
      </c>
      <c r="J25" s="21"/>
      <c r="K25" s="22"/>
      <c r="L25" s="23"/>
      <c r="M25" s="24"/>
      <c r="X25" s="2"/>
    </row>
    <row r="26" spans="1:24" ht="16.5" outlineLevel="1" thickBot="1" x14ac:dyDescent="0.3">
      <c r="A26" s="25"/>
      <c r="B26" s="53"/>
      <c r="C26" s="37" t="s">
        <v>39</v>
      </c>
      <c r="D26" s="37"/>
      <c r="E26" s="37"/>
      <c r="F26" s="54"/>
      <c r="G26" s="39">
        <f>ROUND(SUM(G24:G24),5)</f>
        <v>-40000</v>
      </c>
      <c r="H26" s="131">
        <f>ROUND(SUM(H24:H24),5)</f>
        <v>-40000.03</v>
      </c>
      <c r="I26" s="66">
        <f>ROUND(SUM(I24:I25),5)</f>
        <v>-60000</v>
      </c>
      <c r="J26" s="40">
        <f>ROUND(SUM(J24:J25),5)</f>
        <v>-40000</v>
      </c>
      <c r="K26" s="57">
        <f t="shared" si="0"/>
        <v>0.5</v>
      </c>
      <c r="L26" s="39">
        <f>ROUND(SUM(L24:L25),5)</f>
        <v>-60000</v>
      </c>
      <c r="M26" s="43">
        <f t="shared" si="1"/>
        <v>0</v>
      </c>
      <c r="N26" s="2" t="s">
        <v>114</v>
      </c>
      <c r="X26" s="2"/>
    </row>
    <row r="27" spans="1:24" x14ac:dyDescent="0.25">
      <c r="A27" s="5"/>
      <c r="B27" s="18" t="s">
        <v>40</v>
      </c>
      <c r="C27" s="5"/>
      <c r="D27" s="5"/>
      <c r="E27" s="5"/>
      <c r="F27" s="5"/>
      <c r="G27" s="44">
        <f>ROUND(SUM(G4:G4)+G23+G26,5)</f>
        <v>240369.36</v>
      </c>
      <c r="H27" s="45">
        <f>ROUND(SUM(H4:H4)+H23+H26,5)</f>
        <v>225878.69</v>
      </c>
      <c r="I27" s="64">
        <f>ROUND(SUM(I4:I4)+I23+I26,5)</f>
        <v>244335.33332999999</v>
      </c>
      <c r="J27" s="45">
        <f>ROUND(SUM(J4:J4)+J23+J26,5)</f>
        <v>253896</v>
      </c>
      <c r="K27" s="46">
        <f t="shared" si="0"/>
        <v>-3.7655838099064205E-2</v>
      </c>
      <c r="L27" s="44">
        <f>ROUND(SUM(L4:L4)+L23+L26,5)</f>
        <v>256380.73332999999</v>
      </c>
      <c r="M27" s="47">
        <f t="shared" si="1"/>
        <v>4.9298641485189712E-2</v>
      </c>
      <c r="X27" s="2"/>
    </row>
    <row r="28" spans="1:24" outlineLevel="1" x14ac:dyDescent="0.25">
      <c r="A28" s="5"/>
      <c r="B28" s="18" t="s">
        <v>41</v>
      </c>
      <c r="C28" s="5"/>
      <c r="D28" s="5"/>
      <c r="E28" s="5"/>
      <c r="F28" s="5"/>
      <c r="G28" s="19"/>
      <c r="H28" s="20"/>
      <c r="I28" s="33"/>
      <c r="J28" s="21"/>
      <c r="K28" s="22"/>
      <c r="L28" s="23"/>
      <c r="M28" s="24"/>
      <c r="X28" s="2"/>
    </row>
    <row r="29" spans="1:24" outlineLevel="2" x14ac:dyDescent="0.25">
      <c r="A29" s="5"/>
      <c r="B29" s="18"/>
      <c r="C29" s="5" t="s">
        <v>42</v>
      </c>
      <c r="D29" s="5"/>
      <c r="E29" s="5"/>
      <c r="F29" s="5"/>
      <c r="G29" s="19"/>
      <c r="H29" s="20"/>
      <c r="I29" s="33"/>
      <c r="J29" s="21"/>
      <c r="K29" s="22"/>
      <c r="L29" s="23"/>
      <c r="M29" s="24"/>
      <c r="X29" s="2"/>
    </row>
    <row r="30" spans="1:24" outlineLevel="2" x14ac:dyDescent="0.25">
      <c r="A30" s="5"/>
      <c r="B30" s="18"/>
      <c r="C30" s="5"/>
      <c r="D30" s="25" t="s">
        <v>43</v>
      </c>
      <c r="E30" s="5"/>
      <c r="F30" s="5"/>
      <c r="G30" s="23">
        <v>978</v>
      </c>
      <c r="H30" s="21">
        <v>476.78</v>
      </c>
      <c r="I30" s="33">
        <v>600</v>
      </c>
      <c r="J30" s="21">
        <v>400</v>
      </c>
      <c r="K30" s="22">
        <f>(I30-J30)/J30</f>
        <v>0.5</v>
      </c>
      <c r="L30" s="26">
        <v>1000</v>
      </c>
      <c r="M30" s="24">
        <f>(L30-I30)/I30</f>
        <v>0.66666666666666663</v>
      </c>
      <c r="N30" s="52" t="s">
        <v>113</v>
      </c>
      <c r="X30" s="2"/>
    </row>
    <row r="31" spans="1:24" outlineLevel="2" x14ac:dyDescent="0.25">
      <c r="A31" s="5"/>
      <c r="B31" s="18"/>
      <c r="C31" s="5"/>
      <c r="D31" s="25" t="s">
        <v>44</v>
      </c>
      <c r="E31" s="5"/>
      <c r="F31" s="5"/>
      <c r="G31" s="23">
        <v>107343.36</v>
      </c>
      <c r="H31" s="21">
        <v>108605.59</v>
      </c>
      <c r="I31" s="33">
        <v>118000</v>
      </c>
      <c r="J31" s="21">
        <v>118578</v>
      </c>
      <c r="K31" s="22">
        <f t="shared" ref="K31:K75" si="2">(I31-J31)/J31</f>
        <v>-4.8744286461232271E-3</v>
      </c>
      <c r="L31" s="26">
        <f>I31*1.075</f>
        <v>126850</v>
      </c>
      <c r="M31" s="24">
        <f t="shared" ref="M31:M75" si="3">(L31-I31)/I31</f>
        <v>7.4999999999999997E-2</v>
      </c>
      <c r="X31" s="2"/>
    </row>
    <row r="32" spans="1:24" ht="16.5" outlineLevel="2" thickBot="1" x14ac:dyDescent="0.3">
      <c r="A32" s="5"/>
      <c r="B32" s="18"/>
      <c r="C32" s="5"/>
      <c r="D32" s="25" t="s">
        <v>45</v>
      </c>
      <c r="E32" s="5"/>
      <c r="F32" s="5"/>
      <c r="G32" s="23">
        <v>11294.37</v>
      </c>
      <c r="H32" s="21">
        <v>11467.37</v>
      </c>
      <c r="I32" s="33">
        <v>12000</v>
      </c>
      <c r="J32" s="21">
        <v>13000</v>
      </c>
      <c r="K32" s="22">
        <f t="shared" si="2"/>
        <v>-7.6923076923076927E-2</v>
      </c>
      <c r="L32" s="56">
        <f>L31*(I32/I31)</f>
        <v>12900</v>
      </c>
      <c r="M32" s="24">
        <f t="shared" si="3"/>
        <v>7.4999999999999997E-2</v>
      </c>
      <c r="X32" s="2"/>
    </row>
    <row r="33" spans="1:24" ht="17.25" outlineLevel="2" thickTop="1" thickBot="1" x14ac:dyDescent="0.3">
      <c r="A33" s="5"/>
      <c r="B33" s="35"/>
      <c r="C33" s="36"/>
      <c r="D33" s="37" t="s">
        <v>46</v>
      </c>
      <c r="E33" s="36"/>
      <c r="F33" s="38"/>
      <c r="G33" s="39">
        <v>1692.45</v>
      </c>
      <c r="H33" s="40">
        <v>2307.33</v>
      </c>
      <c r="I33" s="66">
        <v>0</v>
      </c>
      <c r="J33" s="40">
        <v>900</v>
      </c>
      <c r="K33" s="57">
        <f t="shared" si="2"/>
        <v>-1</v>
      </c>
      <c r="L33" s="58">
        <v>0</v>
      </c>
      <c r="M33" s="43">
        <v>0</v>
      </c>
      <c r="X33" s="2"/>
    </row>
    <row r="34" spans="1:24" s="9" customFormat="1" outlineLevel="1" x14ac:dyDescent="0.25">
      <c r="A34" s="5"/>
      <c r="B34" s="18"/>
      <c r="C34" s="5" t="s">
        <v>47</v>
      </c>
      <c r="D34" s="5"/>
      <c r="E34" s="5"/>
      <c r="F34" s="5"/>
      <c r="G34" s="23">
        <f>ROUND(SUM(G29:G33),5)</f>
        <v>121308.18</v>
      </c>
      <c r="H34" s="21">
        <f>ROUND(SUM(H29:H33),5)</f>
        <v>122857.07</v>
      </c>
      <c r="I34" s="64">
        <f>ROUND(SUM(I29:I33),5)</f>
        <v>130600</v>
      </c>
      <c r="J34" s="45">
        <f>ROUND(SUM(J29:J33),5)</f>
        <v>132878</v>
      </c>
      <c r="K34" s="46">
        <f t="shared" si="2"/>
        <v>-1.7143545206881501E-2</v>
      </c>
      <c r="L34" s="44">
        <f>ROUND(SUM(L29:L33),5)</f>
        <v>140750</v>
      </c>
      <c r="M34" s="47">
        <f t="shared" si="3"/>
        <v>7.7718223583460949E-2</v>
      </c>
      <c r="N34" s="192" t="s">
        <v>122</v>
      </c>
      <c r="O34" s="193"/>
      <c r="P34" s="193"/>
    </row>
    <row r="35" spans="1:24" outlineLevel="2" x14ac:dyDescent="0.25">
      <c r="A35" s="5"/>
      <c r="B35" s="18"/>
      <c r="C35" s="5" t="s">
        <v>48</v>
      </c>
      <c r="D35" s="5"/>
      <c r="E35" s="5"/>
      <c r="F35" s="5"/>
      <c r="G35" s="19"/>
      <c r="H35" s="20"/>
      <c r="I35" s="33"/>
      <c r="J35" s="21"/>
      <c r="K35" s="22"/>
      <c r="L35" s="23"/>
      <c r="M35" s="24"/>
      <c r="X35" s="2"/>
    </row>
    <row r="36" spans="1:24" s="9" customFormat="1" outlineLevel="3" x14ac:dyDescent="0.25">
      <c r="A36" s="5"/>
      <c r="B36" s="18"/>
      <c r="C36" s="5"/>
      <c r="D36" s="25" t="s">
        <v>49</v>
      </c>
      <c r="E36" s="5"/>
      <c r="F36" s="5"/>
      <c r="G36" s="19"/>
      <c r="H36" s="20"/>
      <c r="I36" s="33"/>
      <c r="J36" s="21"/>
      <c r="K36" s="22"/>
      <c r="L36" s="23"/>
      <c r="M36" s="24"/>
    </row>
    <row r="37" spans="1:24" outlineLevel="4" x14ac:dyDescent="0.25">
      <c r="A37" s="5"/>
      <c r="B37" s="18"/>
      <c r="C37" s="5"/>
      <c r="D37" s="5"/>
      <c r="E37" s="5"/>
      <c r="F37" s="25" t="s">
        <v>50</v>
      </c>
      <c r="G37" s="23">
        <v>3942.89</v>
      </c>
      <c r="H37" s="21">
        <v>4573.47</v>
      </c>
      <c r="I37" s="33">
        <f>2268.45+1800</f>
        <v>4068.45</v>
      </c>
      <c r="J37" s="21">
        <v>4000</v>
      </c>
      <c r="K37" s="22">
        <f t="shared" si="2"/>
        <v>1.7112499999999954E-2</v>
      </c>
      <c r="L37" s="198">
        <f>2000+2500</f>
        <v>4500</v>
      </c>
      <c r="M37" s="24">
        <f t="shared" si="3"/>
        <v>0.1060723371308484</v>
      </c>
      <c r="N37" s="192" t="s">
        <v>151</v>
      </c>
      <c r="X37" s="2"/>
    </row>
    <row r="38" spans="1:24" outlineLevel="4" x14ac:dyDescent="0.25">
      <c r="A38" s="5"/>
      <c r="B38" s="18"/>
      <c r="C38" s="5"/>
      <c r="D38" s="5"/>
      <c r="E38" s="5"/>
      <c r="F38" s="25" t="s">
        <v>51</v>
      </c>
      <c r="G38" s="27">
        <v>4244.24</v>
      </c>
      <c r="H38" s="28">
        <v>4402.25</v>
      </c>
      <c r="I38" s="183">
        <f>2247.71*2</f>
        <v>4495.42</v>
      </c>
      <c r="J38" s="28">
        <v>4500</v>
      </c>
      <c r="K38" s="29">
        <f t="shared" si="2"/>
        <v>-1.0177777777777616E-3</v>
      </c>
      <c r="L38" s="26">
        <f>5000</f>
        <v>5000</v>
      </c>
      <c r="M38" s="30">
        <f t="shared" si="3"/>
        <v>0.11224312744971547</v>
      </c>
      <c r="N38" s="192" t="s">
        <v>152</v>
      </c>
      <c r="X38" s="2"/>
    </row>
    <row r="39" spans="1:24" outlineLevel="3" x14ac:dyDescent="0.25">
      <c r="A39" s="5"/>
      <c r="B39" s="18"/>
      <c r="C39" s="5"/>
      <c r="D39" s="5"/>
      <c r="E39" s="25" t="s">
        <v>52</v>
      </c>
      <c r="F39" s="5"/>
      <c r="G39" s="23">
        <f>ROUND(SUM(G37:G38),5)</f>
        <v>8187.13</v>
      </c>
      <c r="H39" s="21">
        <f>ROUND(SUM(H37:H38),5)</f>
        <v>8975.7199999999993</v>
      </c>
      <c r="I39" s="33">
        <f>ROUND(SUM(I37:I38),5)</f>
        <v>8563.8700000000008</v>
      </c>
      <c r="J39" s="21">
        <f>ROUND(SUM(J37:J38),5)</f>
        <v>8500</v>
      </c>
      <c r="K39" s="22">
        <f t="shared" si="2"/>
        <v>7.5141176470589176E-3</v>
      </c>
      <c r="L39" s="23">
        <f>ROUND(SUM(L37:L38),5)</f>
        <v>9500</v>
      </c>
      <c r="M39" s="24">
        <f t="shared" si="3"/>
        <v>0.1093115612450912</v>
      </c>
      <c r="N39" s="192" t="s">
        <v>155</v>
      </c>
      <c r="X39" s="2"/>
    </row>
    <row r="40" spans="1:24" outlineLevel="3" x14ac:dyDescent="0.25">
      <c r="A40" s="5"/>
      <c r="B40" s="18"/>
      <c r="C40" s="5"/>
      <c r="D40" s="5"/>
      <c r="E40" s="25" t="s">
        <v>53</v>
      </c>
      <c r="F40" s="5"/>
      <c r="G40" s="23">
        <v>1637.38</v>
      </c>
      <c r="H40" s="21">
        <v>1582.05</v>
      </c>
      <c r="I40" s="33">
        <f>1134/0.75</f>
        <v>1512</v>
      </c>
      <c r="J40" s="21">
        <v>1500</v>
      </c>
      <c r="K40" s="22">
        <f t="shared" si="2"/>
        <v>8.0000000000000002E-3</v>
      </c>
      <c r="L40" s="26">
        <v>1700</v>
      </c>
      <c r="M40" s="24">
        <f t="shared" si="3"/>
        <v>0.12433862433862433</v>
      </c>
      <c r="X40" s="2"/>
    </row>
    <row r="41" spans="1:24" outlineLevel="3" x14ac:dyDescent="0.25">
      <c r="A41" s="5"/>
      <c r="B41" s="18"/>
      <c r="C41" s="5"/>
      <c r="D41" s="5"/>
      <c r="E41" s="25" t="s">
        <v>54</v>
      </c>
      <c r="F41" s="5"/>
      <c r="G41" s="23">
        <v>3010.82</v>
      </c>
      <c r="H41" s="21">
        <v>3352.96</v>
      </c>
      <c r="I41" s="33">
        <v>3900</v>
      </c>
      <c r="J41" s="21">
        <v>4000</v>
      </c>
      <c r="K41" s="22">
        <f t="shared" si="2"/>
        <v>-2.5000000000000001E-2</v>
      </c>
      <c r="L41" s="26">
        <f>4100-600</f>
        <v>3500</v>
      </c>
      <c r="M41" s="24">
        <f t="shared" si="3"/>
        <v>-0.10256410256410256</v>
      </c>
      <c r="N41" s="2" t="s">
        <v>123</v>
      </c>
      <c r="X41" s="2"/>
    </row>
    <row r="42" spans="1:24" outlineLevel="3" x14ac:dyDescent="0.25">
      <c r="A42" s="5"/>
      <c r="B42" s="18"/>
      <c r="C42" s="5"/>
      <c r="D42" s="5"/>
      <c r="E42" s="25" t="s">
        <v>55</v>
      </c>
      <c r="G42" s="19">
        <v>6.84</v>
      </c>
      <c r="H42" s="20">
        <v>0</v>
      </c>
      <c r="I42" s="33">
        <v>0</v>
      </c>
      <c r="J42" s="21">
        <v>200</v>
      </c>
      <c r="K42" s="22">
        <f t="shared" si="2"/>
        <v>-1</v>
      </c>
      <c r="L42" s="200">
        <v>100</v>
      </c>
      <c r="M42" s="24">
        <v>1</v>
      </c>
      <c r="X42" s="2"/>
    </row>
    <row r="43" spans="1:24" outlineLevel="2" x14ac:dyDescent="0.25">
      <c r="A43" s="5"/>
      <c r="B43" s="18"/>
      <c r="C43" s="5"/>
      <c r="D43" s="25" t="s">
        <v>56</v>
      </c>
      <c r="E43" s="5"/>
      <c r="F43" s="5"/>
      <c r="G43" s="23">
        <f>SUM(G39:G42)</f>
        <v>12842.17</v>
      </c>
      <c r="H43" s="21">
        <f t="shared" ref="H43:L43" si="4">SUM(H39:H42)</f>
        <v>13910.73</v>
      </c>
      <c r="I43" s="33">
        <f t="shared" si="4"/>
        <v>13975.87</v>
      </c>
      <c r="J43" s="21">
        <f t="shared" si="4"/>
        <v>14200</v>
      </c>
      <c r="K43" s="22">
        <f t="shared" si="2"/>
        <v>-1.5783802816901352E-2</v>
      </c>
      <c r="L43" s="23">
        <f t="shared" si="4"/>
        <v>14800</v>
      </c>
      <c r="M43" s="24">
        <f t="shared" si="3"/>
        <v>5.896806424215445E-2</v>
      </c>
      <c r="X43" s="2"/>
    </row>
    <row r="44" spans="1:24" outlineLevel="3" x14ac:dyDescent="0.25">
      <c r="A44" s="5"/>
      <c r="B44" s="18"/>
      <c r="C44" s="5"/>
      <c r="D44" s="5"/>
      <c r="E44" s="25" t="s">
        <v>57</v>
      </c>
      <c r="F44" s="5"/>
      <c r="G44" s="19">
        <v>8008.06</v>
      </c>
      <c r="H44" s="20">
        <v>0</v>
      </c>
      <c r="I44" s="33">
        <v>0</v>
      </c>
      <c r="J44" s="21">
        <v>500</v>
      </c>
      <c r="K44" s="22">
        <f t="shared" si="2"/>
        <v>-1</v>
      </c>
      <c r="L44" s="26">
        <v>500</v>
      </c>
      <c r="M44" s="24">
        <v>1</v>
      </c>
      <c r="N44" s="2" t="s">
        <v>124</v>
      </c>
      <c r="X44" s="2"/>
    </row>
    <row r="45" spans="1:24" outlineLevel="3" x14ac:dyDescent="0.25">
      <c r="A45" s="5"/>
      <c r="B45" s="18"/>
      <c r="C45" s="5"/>
      <c r="D45" s="5"/>
      <c r="E45" s="25" t="s">
        <v>58</v>
      </c>
      <c r="F45" s="5"/>
      <c r="G45" s="23">
        <v>2095</v>
      </c>
      <c r="H45" s="21">
        <v>1900</v>
      </c>
      <c r="I45" s="33">
        <v>1995</v>
      </c>
      <c r="J45" s="21">
        <v>2000</v>
      </c>
      <c r="K45" s="22">
        <f t="shared" si="2"/>
        <v>-2.5000000000000001E-3</v>
      </c>
      <c r="L45" s="26">
        <v>3000</v>
      </c>
      <c r="M45" s="24">
        <f t="shared" si="3"/>
        <v>0.50375939849624063</v>
      </c>
      <c r="N45" s="2" t="s">
        <v>125</v>
      </c>
      <c r="X45" s="2"/>
    </row>
    <row r="46" spans="1:24" s="9" customFormat="1" outlineLevel="3" x14ac:dyDescent="0.25">
      <c r="A46" s="5"/>
      <c r="B46" s="18"/>
      <c r="C46" s="5"/>
      <c r="D46" s="5"/>
      <c r="E46" s="25" t="s">
        <v>59</v>
      </c>
      <c r="F46" s="5"/>
      <c r="G46" s="27">
        <v>373.14</v>
      </c>
      <c r="H46" s="28">
        <v>346.56</v>
      </c>
      <c r="I46" s="183">
        <v>350</v>
      </c>
      <c r="J46" s="28">
        <v>400</v>
      </c>
      <c r="K46" s="29">
        <f t="shared" si="2"/>
        <v>-0.125</v>
      </c>
      <c r="L46" s="26">
        <v>400</v>
      </c>
      <c r="M46" s="30">
        <f t="shared" si="3"/>
        <v>0.14285714285714285</v>
      </c>
    </row>
    <row r="47" spans="1:24" outlineLevel="2" x14ac:dyDescent="0.25">
      <c r="A47" s="5"/>
      <c r="B47" s="18"/>
      <c r="C47" s="5"/>
      <c r="D47" s="25" t="s">
        <v>60</v>
      </c>
      <c r="E47" s="5"/>
      <c r="F47" s="5"/>
      <c r="G47" s="23">
        <f>ROUND(SUM(G44:G46),5)</f>
        <v>10476.200000000001</v>
      </c>
      <c r="H47" s="21">
        <f>ROUND(SUM(H44:H46),5)</f>
        <v>2246.56</v>
      </c>
      <c r="I47" s="33">
        <f>ROUND(SUM(I44:I46),5)</f>
        <v>2345</v>
      </c>
      <c r="J47" s="21">
        <f>ROUND(SUM(J44:J46),5)</f>
        <v>2900</v>
      </c>
      <c r="K47" s="22">
        <f t="shared" si="2"/>
        <v>-0.19137931034482758</v>
      </c>
      <c r="L47" s="23">
        <f>ROUND(SUM(L44:L46),5)</f>
        <v>3900</v>
      </c>
      <c r="M47" s="24">
        <f t="shared" si="3"/>
        <v>0.66311300639658843</v>
      </c>
      <c r="X47" s="2"/>
    </row>
    <row r="48" spans="1:24" ht="16.5" outlineLevel="2" thickBot="1" x14ac:dyDescent="0.3">
      <c r="A48" s="5"/>
      <c r="B48" s="35"/>
      <c r="C48" s="36"/>
      <c r="D48" s="37" t="s">
        <v>61</v>
      </c>
      <c r="E48" s="36"/>
      <c r="F48" s="38"/>
      <c r="G48" s="39">
        <v>11203</v>
      </c>
      <c r="H48" s="40">
        <v>15105</v>
      </c>
      <c r="I48" s="66">
        <v>18084</v>
      </c>
      <c r="J48" s="40">
        <v>16000</v>
      </c>
      <c r="K48" s="41">
        <f t="shared" si="2"/>
        <v>0.13025</v>
      </c>
      <c r="L48" s="59">
        <v>23000</v>
      </c>
      <c r="M48" s="43">
        <f t="shared" si="3"/>
        <v>0.27184251271842513</v>
      </c>
      <c r="N48" s="192" t="s">
        <v>126</v>
      </c>
      <c r="X48" s="2"/>
    </row>
    <row r="49" spans="1:24" outlineLevel="1" x14ac:dyDescent="0.25">
      <c r="A49" s="5"/>
      <c r="B49" s="18"/>
      <c r="C49" s="5" t="s">
        <v>62</v>
      </c>
      <c r="D49" s="5"/>
      <c r="E49" s="5"/>
      <c r="F49" s="5"/>
      <c r="G49" s="44">
        <f>ROUND(G35+G43+SUM(G47:G48),5)</f>
        <v>34521.370000000003</v>
      </c>
      <c r="H49" s="45">
        <f>ROUND(H35+H43+SUM(H47:H48),5)</f>
        <v>31262.29</v>
      </c>
      <c r="I49" s="64">
        <f>ROUND(I35+I43+SUM(I47:I48),5)</f>
        <v>34404.870000000003</v>
      </c>
      <c r="J49" s="45">
        <f>ROUND(J35+J43+SUM(J47:J48),5)</f>
        <v>33100</v>
      </c>
      <c r="K49" s="46">
        <f t="shared" si="2"/>
        <v>3.9422054380664734E-2</v>
      </c>
      <c r="L49" s="44">
        <f>ROUND(L35+L43+SUM(L47:L48),5)</f>
        <v>41700</v>
      </c>
      <c r="M49" s="47">
        <f t="shared" si="3"/>
        <v>0.21203771442821895</v>
      </c>
      <c r="X49" s="2"/>
    </row>
    <row r="50" spans="1:24" outlineLevel="2" x14ac:dyDescent="0.25">
      <c r="A50" s="5"/>
      <c r="B50" s="18"/>
      <c r="C50" s="5" t="s">
        <v>63</v>
      </c>
      <c r="D50" s="5"/>
      <c r="E50" s="5"/>
      <c r="F50" s="5"/>
      <c r="G50" s="19"/>
      <c r="H50" s="20"/>
      <c r="I50" s="33"/>
      <c r="J50" s="21"/>
      <c r="K50" s="22"/>
      <c r="L50" s="23"/>
      <c r="M50" s="24"/>
      <c r="X50" s="2"/>
    </row>
    <row r="51" spans="1:24" s="9" customFormat="1" outlineLevel="2" x14ac:dyDescent="0.25">
      <c r="A51" s="5"/>
      <c r="B51" s="18"/>
      <c r="C51" s="5"/>
      <c r="D51" s="25" t="s">
        <v>64</v>
      </c>
      <c r="E51" s="5"/>
      <c r="F51" s="5"/>
      <c r="G51" s="23">
        <v>17820</v>
      </c>
      <c r="H51" s="21">
        <v>5550</v>
      </c>
      <c r="I51" s="33">
        <v>1251</v>
      </c>
      <c r="J51" s="21">
        <v>1500</v>
      </c>
      <c r="K51" s="22">
        <f t="shared" si="2"/>
        <v>-0.16600000000000001</v>
      </c>
      <c r="L51" s="26">
        <v>500</v>
      </c>
      <c r="M51" s="24">
        <f t="shared" si="3"/>
        <v>-0.6003197442046363</v>
      </c>
    </row>
    <row r="52" spans="1:24" outlineLevel="3" x14ac:dyDescent="0.25">
      <c r="A52" s="5"/>
      <c r="B52" s="18"/>
      <c r="C52" s="5"/>
      <c r="D52" s="5"/>
      <c r="E52" s="25" t="s">
        <v>65</v>
      </c>
      <c r="F52" s="5"/>
      <c r="G52" s="23">
        <v>1590.01</v>
      </c>
      <c r="H52" s="21">
        <v>2238.36</v>
      </c>
      <c r="I52" s="33">
        <f>1518.69+1000</f>
        <v>2518.69</v>
      </c>
      <c r="J52" s="21">
        <v>4000</v>
      </c>
      <c r="K52" s="22">
        <f t="shared" si="2"/>
        <v>-0.37032749999999998</v>
      </c>
      <c r="L52" s="26">
        <v>2500</v>
      </c>
      <c r="M52" s="24">
        <f t="shared" si="3"/>
        <v>-7.420524161369622E-3</v>
      </c>
      <c r="N52" s="2" t="s">
        <v>127</v>
      </c>
      <c r="X52" s="2"/>
    </row>
    <row r="53" spans="1:24" outlineLevel="3" x14ac:dyDescent="0.25">
      <c r="A53" s="5"/>
      <c r="B53" s="165"/>
      <c r="C53" s="166"/>
      <c r="D53" s="166"/>
      <c r="E53" s="167" t="s">
        <v>66</v>
      </c>
      <c r="F53" s="168"/>
      <c r="G53" s="27">
        <v>3802.41</v>
      </c>
      <c r="H53" s="28">
        <v>4612.87</v>
      </c>
      <c r="I53" s="183">
        <f>2*2421.24</f>
        <v>4842.4799999999996</v>
      </c>
      <c r="J53" s="28">
        <v>5581</v>
      </c>
      <c r="K53" s="29">
        <f t="shared" si="2"/>
        <v>-0.13232753986740736</v>
      </c>
      <c r="L53" s="26">
        <v>3500</v>
      </c>
      <c r="M53" s="30">
        <f t="shared" si="3"/>
        <v>-0.27722984916819476</v>
      </c>
      <c r="X53" s="2"/>
    </row>
    <row r="54" spans="1:24" outlineLevel="2" x14ac:dyDescent="0.25">
      <c r="A54" s="5"/>
      <c r="B54" s="18"/>
      <c r="C54" s="5"/>
      <c r="D54" s="25" t="s">
        <v>67</v>
      </c>
      <c r="E54" s="5"/>
      <c r="F54" s="5"/>
      <c r="G54" s="23">
        <f>ROUND(SUM(G52:G53),5)</f>
        <v>5392.42</v>
      </c>
      <c r="H54" s="21">
        <f>ROUND(SUM(H52:H53),5)</f>
        <v>6851.23</v>
      </c>
      <c r="I54" s="33">
        <f>ROUND(SUM(I52:I53),5)</f>
        <v>7361.17</v>
      </c>
      <c r="J54" s="21">
        <f>ROUND(SUM(J52:J53),5)</f>
        <v>9581</v>
      </c>
      <c r="K54" s="22">
        <f t="shared" si="2"/>
        <v>-0.23169084646696586</v>
      </c>
      <c r="L54" s="23">
        <f>ROUND(SUM(L52:L53),5)</f>
        <v>6000</v>
      </c>
      <c r="M54" s="24">
        <f t="shared" si="3"/>
        <v>-0.18491218107990987</v>
      </c>
      <c r="X54" s="2"/>
    </row>
    <row r="55" spans="1:24" outlineLevel="3" x14ac:dyDescent="0.25">
      <c r="A55" s="5"/>
      <c r="B55" s="18"/>
      <c r="C55" s="5"/>
      <c r="D55" s="5"/>
      <c r="E55" s="25" t="s">
        <v>68</v>
      </c>
      <c r="F55" s="5"/>
      <c r="G55" s="23">
        <v>13787.68</v>
      </c>
      <c r="H55" s="21">
        <v>15568.58</v>
      </c>
      <c r="I55" s="33">
        <f>11524+3*1050</f>
        <v>14674</v>
      </c>
      <c r="J55" s="21">
        <v>14300</v>
      </c>
      <c r="K55" s="22">
        <f t="shared" si="2"/>
        <v>2.6153846153846153E-2</v>
      </c>
      <c r="L55" s="26">
        <v>14300</v>
      </c>
      <c r="M55" s="24">
        <f t="shared" si="3"/>
        <v>-2.5487256371814093E-2</v>
      </c>
      <c r="N55" s="2" t="s">
        <v>128</v>
      </c>
      <c r="X55" s="2"/>
    </row>
    <row r="56" spans="1:24" outlineLevel="3" x14ac:dyDescent="0.25">
      <c r="A56" s="5"/>
      <c r="B56" s="18"/>
      <c r="C56" s="5"/>
      <c r="D56" s="5"/>
      <c r="E56" s="25" t="s">
        <v>69</v>
      </c>
      <c r="F56" s="5"/>
      <c r="G56" s="19">
        <v>1606.52</v>
      </c>
      <c r="H56" s="20">
        <v>0</v>
      </c>
      <c r="I56" s="33">
        <f>2*726.77</f>
        <v>1453.54</v>
      </c>
      <c r="J56" s="21">
        <v>1600</v>
      </c>
      <c r="K56" s="22">
        <f t="shared" si="2"/>
        <v>-9.1537500000000022E-2</v>
      </c>
      <c r="L56" s="26">
        <v>1600</v>
      </c>
      <c r="M56" s="24">
        <f t="shared" si="3"/>
        <v>0.10076090097279747</v>
      </c>
      <c r="X56" s="2"/>
    </row>
    <row r="57" spans="1:24" outlineLevel="3" x14ac:dyDescent="0.25">
      <c r="A57" s="5"/>
      <c r="B57" s="165"/>
      <c r="C57" s="166"/>
      <c r="D57" s="166"/>
      <c r="E57" s="167" t="s">
        <v>70</v>
      </c>
      <c r="F57" s="168"/>
      <c r="G57" s="27">
        <v>168</v>
      </c>
      <c r="H57" s="28">
        <v>168</v>
      </c>
      <c r="I57" s="183">
        <f>2*84</f>
        <v>168</v>
      </c>
      <c r="J57" s="28">
        <v>170</v>
      </c>
      <c r="K57" s="29">
        <f t="shared" si="2"/>
        <v>-1.1764705882352941E-2</v>
      </c>
      <c r="L57" s="26">
        <v>170</v>
      </c>
      <c r="M57" s="30">
        <f t="shared" si="3"/>
        <v>1.1904761904761904E-2</v>
      </c>
      <c r="X57" s="2"/>
    </row>
    <row r="58" spans="1:24" outlineLevel="2" x14ac:dyDescent="0.25">
      <c r="A58" s="5"/>
      <c r="B58" s="18"/>
      <c r="C58" s="5"/>
      <c r="D58" s="25" t="s">
        <v>71</v>
      </c>
      <c r="E58" s="5"/>
      <c r="F58" s="5"/>
      <c r="G58" s="23">
        <f>ROUND(SUM(G55:G57),5)</f>
        <v>15562.2</v>
      </c>
      <c r="H58" s="21">
        <f>ROUND(SUM(H55:H57),5)</f>
        <v>15736.58</v>
      </c>
      <c r="I58" s="33">
        <f>ROUND(SUM(I55:I57),5)</f>
        <v>16295.54</v>
      </c>
      <c r="J58" s="21">
        <f>ROUND(SUM(J55:J57),5)</f>
        <v>16070</v>
      </c>
      <c r="K58" s="22">
        <f t="shared" si="2"/>
        <v>1.4034847542003789E-2</v>
      </c>
      <c r="L58" s="23">
        <f>ROUND(SUM(L55:L57),5)</f>
        <v>16070</v>
      </c>
      <c r="M58" s="24">
        <f t="shared" si="3"/>
        <v>-1.3840596874973205E-2</v>
      </c>
      <c r="X58" s="2"/>
    </row>
    <row r="59" spans="1:24" outlineLevel="3" x14ac:dyDescent="0.25">
      <c r="A59" s="5"/>
      <c r="B59" s="18"/>
      <c r="C59" s="5"/>
      <c r="D59" s="5"/>
      <c r="E59" s="25" t="s">
        <v>72</v>
      </c>
      <c r="F59" s="5"/>
      <c r="G59" s="19">
        <v>5052.38</v>
      </c>
      <c r="H59" s="20">
        <v>5136.08</v>
      </c>
      <c r="I59" s="33">
        <v>0</v>
      </c>
      <c r="J59" s="21">
        <v>500</v>
      </c>
      <c r="K59" s="22">
        <f t="shared" si="2"/>
        <v>-1</v>
      </c>
      <c r="L59" s="26">
        <v>1500</v>
      </c>
      <c r="M59" s="24">
        <v>1</v>
      </c>
      <c r="N59" s="2" t="s">
        <v>129</v>
      </c>
      <c r="X59" s="2"/>
    </row>
    <row r="60" spans="1:24" outlineLevel="3" x14ac:dyDescent="0.25">
      <c r="A60" s="5"/>
      <c r="B60" s="18"/>
      <c r="C60" s="5"/>
      <c r="D60" s="5"/>
      <c r="E60" s="25" t="s">
        <v>73</v>
      </c>
      <c r="F60" s="5"/>
      <c r="G60" s="23">
        <v>3776.85</v>
      </c>
      <c r="H60" s="21">
        <v>235.85</v>
      </c>
      <c r="I60" s="33">
        <f>2*1077.13</f>
        <v>2154.2600000000002</v>
      </c>
      <c r="J60" s="21">
        <v>2000</v>
      </c>
      <c r="K60" s="22">
        <f t="shared" si="2"/>
        <v>7.7130000000000115E-2</v>
      </c>
      <c r="L60" s="26">
        <v>1500</v>
      </c>
      <c r="M60" s="24">
        <f t="shared" si="3"/>
        <v>-0.30370521664051697</v>
      </c>
      <c r="X60" s="2"/>
    </row>
    <row r="61" spans="1:24" outlineLevel="3" x14ac:dyDescent="0.25">
      <c r="A61" s="5"/>
      <c r="B61" s="165"/>
      <c r="C61" s="166"/>
      <c r="D61" s="166"/>
      <c r="E61" s="167" t="s">
        <v>74</v>
      </c>
      <c r="F61" s="168"/>
      <c r="G61" s="27">
        <v>14759.96</v>
      </c>
      <c r="H61" s="28">
        <v>9899.48</v>
      </c>
      <c r="I61" s="183">
        <f>16722+5000</f>
        <v>21722</v>
      </c>
      <c r="J61" s="28">
        <v>15000</v>
      </c>
      <c r="K61" s="29">
        <f t="shared" si="2"/>
        <v>0.44813333333333333</v>
      </c>
      <c r="L61" s="26">
        <v>15000</v>
      </c>
      <c r="M61" s="30">
        <f t="shared" si="3"/>
        <v>-0.30945585121075408</v>
      </c>
      <c r="X61" s="2"/>
    </row>
    <row r="62" spans="1:24" outlineLevel="2" x14ac:dyDescent="0.25">
      <c r="A62" s="5"/>
      <c r="B62" s="18"/>
      <c r="C62" s="5"/>
      <c r="D62" s="25" t="s">
        <v>75</v>
      </c>
      <c r="E62" s="5"/>
      <c r="F62" s="5"/>
      <c r="G62" s="23">
        <f>ROUND(SUM(G59:G61),5)</f>
        <v>23589.19</v>
      </c>
      <c r="H62" s="21">
        <f>ROUND(SUM(H59:H61),5)</f>
        <v>15271.41</v>
      </c>
      <c r="I62" s="33">
        <f>ROUND(SUM(I59:I61),5)</f>
        <v>23876.26</v>
      </c>
      <c r="J62" s="21">
        <f>ROUND(SUM(J59:J61),5)</f>
        <v>17500</v>
      </c>
      <c r="K62" s="22">
        <f t="shared" si="2"/>
        <v>0.36435771428571417</v>
      </c>
      <c r="L62" s="23">
        <f>ROUND(SUM(L59:L61),5)</f>
        <v>18000</v>
      </c>
      <c r="M62" s="24">
        <f t="shared" si="3"/>
        <v>-0.24611308471259732</v>
      </c>
      <c r="X62" s="2"/>
    </row>
    <row r="63" spans="1:24" outlineLevel="3" x14ac:dyDescent="0.25">
      <c r="A63" s="5"/>
      <c r="B63" s="18"/>
      <c r="C63" s="5"/>
      <c r="D63" s="5"/>
      <c r="E63" s="25" t="s">
        <v>76</v>
      </c>
      <c r="F63" s="5"/>
      <c r="G63" s="23">
        <v>3110.83</v>
      </c>
      <c r="H63" s="21">
        <v>3610.13</v>
      </c>
      <c r="I63" s="33">
        <f>2080.54+500</f>
        <v>2580.54</v>
      </c>
      <c r="J63" s="21">
        <v>1500</v>
      </c>
      <c r="K63" s="22">
        <f t="shared" si="2"/>
        <v>0.72036</v>
      </c>
      <c r="L63" s="26">
        <v>3000</v>
      </c>
      <c r="M63" s="24">
        <f t="shared" si="3"/>
        <v>0.16254737380548259</v>
      </c>
      <c r="X63" s="2"/>
    </row>
    <row r="64" spans="1:24" s="9" customFormat="1" outlineLevel="3" x14ac:dyDescent="0.25">
      <c r="A64" s="5"/>
      <c r="B64" s="18"/>
      <c r="C64" s="5"/>
      <c r="D64" s="5"/>
      <c r="E64" s="25" t="s">
        <v>77</v>
      </c>
      <c r="F64" s="5"/>
      <c r="G64" s="19"/>
      <c r="H64" s="20"/>
      <c r="I64" s="33">
        <f>461.28+1000</f>
        <v>1461.28</v>
      </c>
      <c r="J64" s="21">
        <v>3000</v>
      </c>
      <c r="K64" s="22">
        <f t="shared" si="2"/>
        <v>-0.51290666666666662</v>
      </c>
      <c r="L64" s="26">
        <v>1500</v>
      </c>
      <c r="M64" s="24">
        <f t="shared" si="3"/>
        <v>2.6497317420343829E-2</v>
      </c>
    </row>
    <row r="65" spans="1:24" outlineLevel="3" x14ac:dyDescent="0.25">
      <c r="A65" s="5"/>
      <c r="B65" s="165"/>
      <c r="C65" s="166"/>
      <c r="D65" s="166"/>
      <c r="E65" s="167" t="s">
        <v>78</v>
      </c>
      <c r="F65" s="168"/>
      <c r="G65" s="23">
        <v>5294.89</v>
      </c>
      <c r="H65" s="21">
        <v>4459.37</v>
      </c>
      <c r="I65" s="33">
        <f>3342.99+1500</f>
        <v>4842.99</v>
      </c>
      <c r="J65" s="21">
        <v>6000</v>
      </c>
      <c r="K65" s="22">
        <f t="shared" si="2"/>
        <v>-0.19283500000000003</v>
      </c>
      <c r="L65" s="200">
        <v>3000</v>
      </c>
      <c r="M65" s="24">
        <f t="shared" si="3"/>
        <v>-0.38054796726815454</v>
      </c>
      <c r="N65" s="2" t="s">
        <v>130</v>
      </c>
      <c r="X65" s="2"/>
    </row>
    <row r="66" spans="1:24" ht="16.5" outlineLevel="2" thickBot="1" x14ac:dyDescent="0.3">
      <c r="A66" s="5"/>
      <c r="B66" s="35"/>
      <c r="C66" s="36"/>
      <c r="D66" s="37" t="s">
        <v>79</v>
      </c>
      <c r="E66" s="36"/>
      <c r="F66" s="38"/>
      <c r="G66" s="39">
        <f>ROUND(SUM(G63:G65),5)</f>
        <v>8405.7199999999993</v>
      </c>
      <c r="H66" s="40">
        <f>ROUND(SUM(H63:H65),5)</f>
        <v>8069.5</v>
      </c>
      <c r="I66" s="66">
        <f>ROUND(SUM(I63:I65),5)</f>
        <v>8884.81</v>
      </c>
      <c r="J66" s="40">
        <f>ROUND(SUM(J63:J65),5)</f>
        <v>10500</v>
      </c>
      <c r="K66" s="41">
        <f t="shared" si="2"/>
        <v>-0.1538276190476191</v>
      </c>
      <c r="L66" s="39">
        <f>ROUND(SUM(L63:L65),5)</f>
        <v>7500</v>
      </c>
      <c r="M66" s="43">
        <f t="shared" si="3"/>
        <v>-0.15586264647189974</v>
      </c>
      <c r="X66" s="2"/>
    </row>
    <row r="67" spans="1:24" outlineLevel="1" x14ac:dyDescent="0.25">
      <c r="A67" s="5"/>
      <c r="B67" s="18"/>
      <c r="C67" s="5" t="s">
        <v>80</v>
      </c>
      <c r="D67" s="5"/>
      <c r="E67" s="5"/>
      <c r="F67" s="5"/>
      <c r="G67" s="44">
        <f>ROUND(SUM(G50:G51)+G54+G58+G62+G66,5)</f>
        <v>70769.53</v>
      </c>
      <c r="H67" s="45">
        <f>ROUND(SUM(H50:H51)+H54+H58+H62+H66,5)</f>
        <v>51478.720000000001</v>
      </c>
      <c r="I67" s="64">
        <f>ROUND(SUM(I50:I51)+I54+I58+I62+I66,5)</f>
        <v>57668.78</v>
      </c>
      <c r="J67" s="45">
        <f>ROUND(SUM(J50:J51)+J54+J58+J62+J66,5)</f>
        <v>55151</v>
      </c>
      <c r="K67" s="46">
        <f t="shared" si="2"/>
        <v>4.5652481369331449E-2</v>
      </c>
      <c r="L67" s="44">
        <f>ROUND(SUM(L50:L51)+L54+L58+L62+L66,5)</f>
        <v>48070</v>
      </c>
      <c r="M67" s="47">
        <f t="shared" si="3"/>
        <v>-0.16644673253014888</v>
      </c>
      <c r="X67" s="2"/>
    </row>
    <row r="68" spans="1:24" outlineLevel="2" x14ac:dyDescent="0.25">
      <c r="A68" s="5"/>
      <c r="B68" s="18"/>
      <c r="C68" s="5"/>
      <c r="D68" s="25" t="s">
        <v>82</v>
      </c>
      <c r="E68" s="5"/>
      <c r="F68" s="5"/>
      <c r="G68" s="23">
        <v>3645.75</v>
      </c>
      <c r="H68" s="21">
        <v>3541.94</v>
      </c>
      <c r="I68" s="33">
        <f>2*1754.51</f>
        <v>3509.02</v>
      </c>
      <c r="J68" s="21">
        <v>4000</v>
      </c>
      <c r="K68" s="22">
        <f>(I68-J68)/J68</f>
        <v>-0.12274500000000001</v>
      </c>
      <c r="L68" s="26">
        <v>3700</v>
      </c>
      <c r="M68" s="24">
        <f>(L68-I68)/I68</f>
        <v>5.4425452120535081E-2</v>
      </c>
      <c r="X68" s="2"/>
    </row>
    <row r="69" spans="1:24" outlineLevel="2" x14ac:dyDescent="0.25">
      <c r="A69" s="5"/>
      <c r="B69" s="18"/>
      <c r="C69" s="5"/>
      <c r="D69" s="25" t="s">
        <v>83</v>
      </c>
      <c r="E69" s="5"/>
      <c r="F69" s="5"/>
      <c r="G69" s="23">
        <v>11128.48</v>
      </c>
      <c r="H69" s="21">
        <v>11793.25</v>
      </c>
      <c r="I69" s="33">
        <f>7103.05+6*1000</f>
        <v>13103.05</v>
      </c>
      <c r="J69" s="21">
        <v>11000</v>
      </c>
      <c r="K69" s="22">
        <f t="shared" si="2"/>
        <v>0.19118636363636357</v>
      </c>
      <c r="L69" s="26">
        <v>13200</v>
      </c>
      <c r="M69" s="24">
        <f t="shared" si="3"/>
        <v>7.3990406813681346E-3</v>
      </c>
      <c r="X69" s="2"/>
    </row>
    <row r="70" spans="1:24" outlineLevel="2" x14ac:dyDescent="0.25">
      <c r="A70" s="5"/>
      <c r="B70" s="18"/>
      <c r="C70" s="5"/>
      <c r="D70" s="25" t="s">
        <v>84</v>
      </c>
      <c r="E70" s="5"/>
      <c r="F70" s="5"/>
      <c r="G70" s="23">
        <v>1989.95</v>
      </c>
      <c r="H70" s="21">
        <v>2055.27</v>
      </c>
      <c r="I70" s="33">
        <v>0</v>
      </c>
      <c r="J70" s="21">
        <v>12000</v>
      </c>
      <c r="K70" s="22">
        <f t="shared" si="2"/>
        <v>-1</v>
      </c>
      <c r="L70" s="26">
        <v>12000</v>
      </c>
      <c r="M70" s="24">
        <v>1</v>
      </c>
      <c r="N70" s="2" t="s">
        <v>131</v>
      </c>
      <c r="X70" s="2"/>
    </row>
    <row r="71" spans="1:24" outlineLevel="2" x14ac:dyDescent="0.25">
      <c r="A71" s="5"/>
      <c r="B71" s="18"/>
      <c r="C71" s="5"/>
      <c r="D71" s="25" t="s">
        <v>85</v>
      </c>
      <c r="E71" s="5"/>
      <c r="F71" s="5"/>
      <c r="G71" s="27">
        <v>0</v>
      </c>
      <c r="H71" s="28">
        <v>-99.01</v>
      </c>
      <c r="I71" s="183">
        <f>320.88+1000</f>
        <v>1320.88</v>
      </c>
      <c r="J71" s="28">
        <v>2100</v>
      </c>
      <c r="K71" s="29">
        <f t="shared" si="2"/>
        <v>-0.37100952380952373</v>
      </c>
      <c r="L71" s="26">
        <v>1000</v>
      </c>
      <c r="M71" s="30">
        <f t="shared" si="3"/>
        <v>-0.24292895645327364</v>
      </c>
      <c r="X71" s="2"/>
    </row>
    <row r="72" spans="1:24" s="9" customFormat="1" ht="16.5" outlineLevel="1" thickBot="1" x14ac:dyDescent="0.3">
      <c r="A72" s="5"/>
      <c r="B72" s="35"/>
      <c r="C72" s="36" t="s">
        <v>86</v>
      </c>
      <c r="D72" s="36"/>
      <c r="E72" s="36"/>
      <c r="F72" s="38"/>
      <c r="G72" s="60">
        <f>ROUND(SUM(G68:G71),5)</f>
        <v>16764.18</v>
      </c>
      <c r="H72" s="61">
        <f>ROUND(SUM(H68:H71),5)</f>
        <v>17291.45</v>
      </c>
      <c r="I72" s="189">
        <f>ROUND(SUM(I68:I71),5)</f>
        <v>17932.95</v>
      </c>
      <c r="J72" s="61">
        <f>ROUND(SUM(J68:J71),5)</f>
        <v>29100</v>
      </c>
      <c r="K72" s="62">
        <f t="shared" si="2"/>
        <v>-0.38374742268041234</v>
      </c>
      <c r="L72" s="60">
        <f>ROUND(SUM(L68:L71),5)</f>
        <v>29900</v>
      </c>
      <c r="M72" s="63">
        <f t="shared" si="3"/>
        <v>0.66732188513323232</v>
      </c>
    </row>
    <row r="73" spans="1:24" s="9" customFormat="1" ht="16.5" thickBot="1" x14ac:dyDescent="0.3">
      <c r="A73" s="5"/>
      <c r="B73" s="35" t="s">
        <v>99</v>
      </c>
      <c r="C73" s="36"/>
      <c r="D73" s="36"/>
      <c r="E73" s="36"/>
      <c r="F73" s="38"/>
      <c r="G73" s="67">
        <f>ROUND(G34+G49+G67+G72,5)</f>
        <v>243363.26</v>
      </c>
      <c r="H73" s="68">
        <f>ROUND(H34+H49+H67+H72,5)</f>
        <v>222889.53</v>
      </c>
      <c r="I73" s="190">
        <f>ROUND(I34+I49+I67+I72,5)</f>
        <v>240606.6</v>
      </c>
      <c r="J73" s="68">
        <f>ROUND(J34+J49+J67+J72,5)</f>
        <v>250229</v>
      </c>
      <c r="K73" s="69">
        <f t="shared" si="2"/>
        <v>-3.8454375791774714E-2</v>
      </c>
      <c r="L73" s="67">
        <f>ROUND(L34+L49+L67+L72,5)</f>
        <v>260420</v>
      </c>
      <c r="M73" s="70">
        <f t="shared" si="3"/>
        <v>8.2347699522789461E-2</v>
      </c>
      <c r="N73" s="2"/>
    </row>
    <row r="74" spans="1:24" s="1" customFormat="1" ht="16.5" hidden="1" thickBot="1" x14ac:dyDescent="0.3">
      <c r="A74" s="25"/>
      <c r="B74" s="18"/>
      <c r="C74" s="5"/>
      <c r="D74" s="5"/>
      <c r="E74" s="5"/>
      <c r="F74" s="5"/>
      <c r="G74" s="39"/>
      <c r="H74" s="40"/>
      <c r="I74" s="33" t="e">
        <f>ROUND(#REF!+I73,5)</f>
        <v>#REF!</v>
      </c>
      <c r="J74" s="21" t="e">
        <f>ROUND(#REF!+J73,5)</f>
        <v>#REF!</v>
      </c>
      <c r="K74" s="22" t="e">
        <f t="shared" si="2"/>
        <v>#REF!</v>
      </c>
      <c r="L74" s="23" t="e">
        <f>ROUND(#REF!+L73,5)</f>
        <v>#REF!</v>
      </c>
      <c r="M74" s="24" t="e">
        <f t="shared" si="3"/>
        <v>#REF!</v>
      </c>
    </row>
    <row r="75" spans="1:24" ht="16.5" thickBot="1" x14ac:dyDescent="0.3">
      <c r="A75" s="5"/>
      <c r="B75" s="163" t="s">
        <v>100</v>
      </c>
      <c r="C75" s="76"/>
      <c r="D75" s="76"/>
      <c r="E75" s="76"/>
      <c r="F75" s="164"/>
      <c r="G75" s="72">
        <f>G27-G73</f>
        <v>-2993.9000000000233</v>
      </c>
      <c r="H75" s="73">
        <f>H27-H73</f>
        <v>2989.1600000000035</v>
      </c>
      <c r="I75" s="191">
        <f>I27-I73</f>
        <v>3728.7333299999882</v>
      </c>
      <c r="J75" s="73">
        <f>J27-J73</f>
        <v>3667</v>
      </c>
      <c r="K75" s="74">
        <f t="shared" si="2"/>
        <v>1.6834832287970603E-2</v>
      </c>
      <c r="L75" s="72">
        <f>L27-L73</f>
        <v>-4039.2666700000118</v>
      </c>
      <c r="M75" s="75">
        <f t="shared" si="3"/>
        <v>-2.0832811876090975</v>
      </c>
      <c r="X75" s="2"/>
    </row>
    <row r="76" spans="1:24" s="9" customFormat="1" ht="17.25" hidden="1" thickTop="1" thickBot="1" x14ac:dyDescent="0.3">
      <c r="A76" s="5"/>
      <c r="B76" s="18"/>
      <c r="C76" s="76"/>
      <c r="D76" s="76"/>
      <c r="E76" s="76"/>
      <c r="F76" s="76"/>
      <c r="G76" s="21">
        <v>-2994</v>
      </c>
      <c r="H76" s="21">
        <v>28695</v>
      </c>
      <c r="I76" s="77" t="e">
        <f>ROUND(#REF!-#REF!,5)</f>
        <v>#REF!</v>
      </c>
      <c r="J76" s="21"/>
      <c r="K76" s="22"/>
      <c r="L76" s="21"/>
      <c r="M76" s="24"/>
    </row>
    <row r="77" spans="1:24" s="1" customFormat="1" ht="17.25" hidden="1" thickTop="1" thickBot="1" x14ac:dyDescent="0.3">
      <c r="A77" s="5"/>
      <c r="B77" s="18"/>
      <c r="C77" s="5"/>
      <c r="D77" s="5"/>
      <c r="E77" s="5"/>
      <c r="F77" s="5"/>
      <c r="G77" s="20"/>
      <c r="H77" s="20"/>
      <c r="I77" s="78" t="e">
        <f>ROUND(I75+I76,5)</f>
        <v>#REF!</v>
      </c>
      <c r="J77" s="78">
        <f>ROUND(J75+J76,5)</f>
        <v>3667</v>
      </c>
      <c r="K77" s="79"/>
      <c r="L77" s="78"/>
      <c r="M77" s="80"/>
    </row>
    <row r="78" spans="1:24" ht="16.5" hidden="1" thickTop="1" x14ac:dyDescent="0.25">
      <c r="B78" s="71"/>
      <c r="G78" s="20"/>
      <c r="H78" s="20"/>
      <c r="I78" s="20"/>
      <c r="J78" s="20"/>
      <c r="K78" s="31"/>
      <c r="L78" s="20"/>
      <c r="M78" s="32"/>
      <c r="X78" s="2"/>
    </row>
    <row r="79" spans="1:24" ht="17.25" thickTop="1" thickBot="1" x14ac:dyDescent="0.3">
      <c r="B79" s="81"/>
      <c r="C79" s="82" t="s">
        <v>103</v>
      </c>
      <c r="D79" s="82"/>
      <c r="E79" s="82"/>
      <c r="F79" s="82"/>
      <c r="G79" s="83"/>
      <c r="H79" s="84"/>
      <c r="I79" s="84"/>
      <c r="J79" s="84"/>
      <c r="K79" s="85"/>
      <c r="L79" s="84"/>
      <c r="M79" s="86"/>
      <c r="X79" s="2"/>
    </row>
    <row r="80" spans="1:24" ht="16.5" thickBot="1" x14ac:dyDescent="0.3">
      <c r="C80" s="87"/>
      <c r="D80" s="87"/>
      <c r="E80" s="87"/>
      <c r="F80" s="87"/>
      <c r="G80" s="88"/>
      <c r="H80" s="20"/>
      <c r="I80" s="20"/>
      <c r="J80" s="20"/>
      <c r="L80" s="20"/>
      <c r="X80" s="2"/>
    </row>
    <row r="81" spans="1:24" x14ac:dyDescent="0.25">
      <c r="B81" s="323" t="s">
        <v>146</v>
      </c>
      <c r="C81" s="324"/>
      <c r="D81" s="324"/>
      <c r="E81" s="324"/>
      <c r="F81" s="325"/>
      <c r="G81" s="326" t="s">
        <v>1</v>
      </c>
      <c r="H81" s="327"/>
      <c r="I81" s="327"/>
      <c r="J81" s="327"/>
      <c r="K81" s="327"/>
      <c r="L81" s="327"/>
      <c r="M81" s="89"/>
      <c r="X81" s="2"/>
    </row>
    <row r="82" spans="1:24" ht="16.5" thickBot="1" x14ac:dyDescent="0.3">
      <c r="A82" s="5"/>
      <c r="B82" s="320" t="s">
        <v>147</v>
      </c>
      <c r="C82" s="321"/>
      <c r="D82" s="321"/>
      <c r="E82" s="321"/>
      <c r="F82" s="322"/>
      <c r="G82" s="11" t="s">
        <v>2</v>
      </c>
      <c r="H82" s="12" t="s">
        <v>3</v>
      </c>
      <c r="I82" s="181" t="s">
        <v>104</v>
      </c>
      <c r="J82" s="13" t="s">
        <v>101</v>
      </c>
      <c r="K82" s="14" t="str">
        <f>K3</f>
        <v>Var</v>
      </c>
      <c r="L82" s="15" t="s">
        <v>102</v>
      </c>
      <c r="M82" s="16" t="str">
        <f>M3</f>
        <v>Var</v>
      </c>
      <c r="X82" s="2"/>
    </row>
    <row r="83" spans="1:24" outlineLevel="1" x14ac:dyDescent="0.25">
      <c r="A83" s="5"/>
      <c r="B83" s="18" t="s">
        <v>4</v>
      </c>
      <c r="D83" s="25"/>
      <c r="E83" s="5"/>
      <c r="F83" s="5"/>
      <c r="G83" s="19">
        <v>235323</v>
      </c>
      <c r="H83" s="20">
        <v>275069</v>
      </c>
      <c r="I83" s="33">
        <v>265478.89</v>
      </c>
      <c r="J83" s="21">
        <v>267021</v>
      </c>
      <c r="K83" s="90">
        <f>(I83-J83)/J83</f>
        <v>-5.7752386516415786E-3</v>
      </c>
      <c r="L83" s="21">
        <f>I102</f>
        <v>297478.89</v>
      </c>
      <c r="M83" s="24">
        <f>(L83-I83)/I83</f>
        <v>0.12053689089931029</v>
      </c>
      <c r="X83" s="2"/>
    </row>
    <row r="84" spans="1:24" outlineLevel="2" x14ac:dyDescent="0.25">
      <c r="A84" s="5"/>
      <c r="B84" s="18"/>
      <c r="C84" s="25" t="s">
        <v>35</v>
      </c>
      <c r="D84" s="5"/>
      <c r="E84" s="5"/>
      <c r="F84" s="5"/>
      <c r="G84" s="172"/>
      <c r="H84" s="20"/>
      <c r="I84" s="33"/>
      <c r="J84" s="21"/>
      <c r="K84" s="90"/>
      <c r="L84" s="21"/>
      <c r="M84" s="24"/>
      <c r="X84" s="2"/>
    </row>
    <row r="85" spans="1:24" outlineLevel="2" x14ac:dyDescent="0.25">
      <c r="A85" s="5"/>
      <c r="B85" s="18"/>
      <c r="C85" s="5"/>
      <c r="D85" s="25" t="s">
        <v>37</v>
      </c>
      <c r="E85" s="5"/>
      <c r="F85" s="5"/>
      <c r="G85" s="23">
        <v>40000</v>
      </c>
      <c r="H85" s="21">
        <v>40000.03</v>
      </c>
      <c r="I85" s="197">
        <f>40000</f>
        <v>40000</v>
      </c>
      <c r="J85" s="21">
        <v>40000</v>
      </c>
      <c r="K85" s="90">
        <f t="shared" ref="K85:K88" si="5">(I85-J85)/J85</f>
        <v>0</v>
      </c>
      <c r="L85" s="91">
        <f>-L24</f>
        <v>60000</v>
      </c>
      <c r="M85" s="24">
        <f t="shared" ref="M85:M88" si="6">(L85-I85)/I85</f>
        <v>0.5</v>
      </c>
      <c r="N85" s="2" t="s">
        <v>132</v>
      </c>
      <c r="X85" s="2"/>
    </row>
    <row r="86" spans="1:24" outlineLevel="2" x14ac:dyDescent="0.25">
      <c r="A86" s="5"/>
      <c r="B86" s="165"/>
      <c r="C86" s="166"/>
      <c r="D86" s="167" t="s">
        <v>38</v>
      </c>
      <c r="E86" s="166"/>
      <c r="F86" s="168"/>
      <c r="G86" s="27">
        <v>0</v>
      </c>
      <c r="H86" s="28">
        <v>11355.31</v>
      </c>
      <c r="I86" s="183">
        <f>28280.61+55000</f>
        <v>83280.61</v>
      </c>
      <c r="J86" s="28">
        <v>85000</v>
      </c>
      <c r="K86" s="92">
        <f t="shared" si="5"/>
        <v>-2.0228117647058817E-2</v>
      </c>
      <c r="L86" s="91">
        <v>150000</v>
      </c>
      <c r="M86" s="30">
        <f t="shared" si="6"/>
        <v>0.80113954496730988</v>
      </c>
      <c r="N86" s="2" t="s">
        <v>133</v>
      </c>
      <c r="X86" s="2"/>
    </row>
    <row r="87" spans="1:24" ht="16.5" outlineLevel="1" thickBot="1" x14ac:dyDescent="0.3">
      <c r="A87" s="25"/>
      <c r="B87" s="169"/>
      <c r="C87" s="170" t="s">
        <v>39</v>
      </c>
      <c r="D87" s="170"/>
      <c r="E87" s="170"/>
      <c r="F87" s="171"/>
      <c r="G87" s="50">
        <f>ROUND(SUM(G85:G86),5)</f>
        <v>40000</v>
      </c>
      <c r="H87" s="51">
        <f>ROUND(SUM(H85:H86),5)</f>
        <v>51355.34</v>
      </c>
      <c r="I87" s="184">
        <f>ROUND(SUM(I85:I86),5)</f>
        <v>123280.61</v>
      </c>
      <c r="J87" s="51">
        <f>ROUND(SUM(J85:J86),5)</f>
        <v>125000</v>
      </c>
      <c r="K87" s="93">
        <f t="shared" si="5"/>
        <v>-1.3755119999999996E-2</v>
      </c>
      <c r="L87" s="51">
        <f>ROUND(SUM(L85:L86),5)</f>
        <v>210000</v>
      </c>
      <c r="M87" s="55">
        <f t="shared" si="6"/>
        <v>0.70343089639157363</v>
      </c>
      <c r="X87" s="2"/>
    </row>
    <row r="88" spans="1:24" x14ac:dyDescent="0.25">
      <c r="A88" s="5"/>
      <c r="B88" s="6" t="s">
        <v>40</v>
      </c>
      <c r="C88" s="7"/>
      <c r="D88" s="7"/>
      <c r="E88" s="7"/>
      <c r="F88" s="173"/>
      <c r="G88" s="44">
        <f>G87+G83</f>
        <v>275323</v>
      </c>
      <c r="H88" s="45">
        <f>H87+H83</f>
        <v>326424.33999999997</v>
      </c>
      <c r="I88" s="64">
        <f>I87+I83</f>
        <v>388759.5</v>
      </c>
      <c r="J88" s="45">
        <f>J87+J83</f>
        <v>392021</v>
      </c>
      <c r="K88" s="94">
        <f t="shared" si="5"/>
        <v>-8.3197073626157785E-3</v>
      </c>
      <c r="L88" s="45">
        <f>L87+L83</f>
        <v>507478.89</v>
      </c>
      <c r="M88" s="47">
        <f t="shared" si="6"/>
        <v>0.30538003572903044</v>
      </c>
      <c r="X88" s="2"/>
    </row>
    <row r="89" spans="1:24" outlineLevel="1" x14ac:dyDescent="0.25">
      <c r="A89" s="25"/>
      <c r="B89" s="71"/>
      <c r="C89" s="1" t="s">
        <v>108</v>
      </c>
      <c r="G89" s="19"/>
      <c r="H89" s="20"/>
      <c r="I89" s="33"/>
      <c r="J89" s="21"/>
      <c r="K89" s="90"/>
      <c r="L89" s="21"/>
      <c r="M89" s="24"/>
      <c r="X89" s="2"/>
    </row>
    <row r="90" spans="1:24" outlineLevel="1" x14ac:dyDescent="0.25">
      <c r="A90" s="25"/>
      <c r="B90" s="71"/>
      <c r="D90" s="195" t="s">
        <v>150</v>
      </c>
      <c r="G90" s="23">
        <v>253.99</v>
      </c>
      <c r="H90" s="21">
        <v>3455.62</v>
      </c>
      <c r="I90" s="33">
        <v>3000</v>
      </c>
      <c r="J90" s="21">
        <v>3000</v>
      </c>
      <c r="K90" s="90">
        <f t="shared" ref="K90" si="7">(I90-J90)/J90</f>
        <v>0</v>
      </c>
      <c r="L90" s="21"/>
      <c r="M90" s="24"/>
      <c r="X90" s="2"/>
    </row>
    <row r="91" spans="1:24" outlineLevel="1" x14ac:dyDescent="0.25">
      <c r="B91" s="18"/>
      <c r="C91" s="5"/>
      <c r="D91" s="25" t="s">
        <v>154</v>
      </c>
      <c r="E91" s="5"/>
      <c r="F91" s="5"/>
      <c r="G91" s="23"/>
      <c r="H91" s="21"/>
      <c r="I91" s="33"/>
      <c r="J91" s="21"/>
      <c r="K91" s="90"/>
      <c r="L91" s="199">
        <v>2500</v>
      </c>
      <c r="M91" s="24"/>
      <c r="N91" s="192" t="s">
        <v>153</v>
      </c>
      <c r="X91" s="2"/>
    </row>
    <row r="92" spans="1:24" outlineLevel="1" x14ac:dyDescent="0.25">
      <c r="B92" s="18"/>
      <c r="C92" s="5"/>
      <c r="D92" s="25" t="s">
        <v>88</v>
      </c>
      <c r="E92" s="5"/>
      <c r="F92" s="5"/>
      <c r="G92" s="23"/>
      <c r="H92" s="20">
        <v>35019</v>
      </c>
      <c r="I92" s="33">
        <v>5000</v>
      </c>
      <c r="J92" s="21">
        <v>5000</v>
      </c>
      <c r="K92" s="90">
        <f t="shared" ref="K92:K94" si="8">(I92-J92)/J92</f>
        <v>0</v>
      </c>
      <c r="L92" s="21"/>
      <c r="M92" s="24"/>
      <c r="X92" s="2"/>
    </row>
    <row r="93" spans="1:24" outlineLevel="1" x14ac:dyDescent="0.25">
      <c r="B93" s="18"/>
      <c r="C93" s="5"/>
      <c r="D93" s="25" t="s">
        <v>110</v>
      </c>
      <c r="E93" s="5"/>
      <c r="F93" s="5"/>
      <c r="G93" s="23"/>
      <c r="H93" s="20">
        <v>5435</v>
      </c>
      <c r="I93" s="33">
        <v>0</v>
      </c>
      <c r="J93" s="21">
        <v>10000</v>
      </c>
      <c r="K93" s="90">
        <f t="shared" si="8"/>
        <v>-1</v>
      </c>
      <c r="L93" s="95">
        <v>10000</v>
      </c>
      <c r="M93" s="24"/>
      <c r="X93" s="2"/>
    </row>
    <row r="94" spans="1:24" outlineLevel="1" x14ac:dyDescent="0.25">
      <c r="B94" s="18"/>
      <c r="C94" s="5"/>
      <c r="D94" s="25" t="s">
        <v>90</v>
      </c>
      <c r="E94" s="5"/>
      <c r="F94" s="5"/>
      <c r="G94" s="23"/>
      <c r="H94" s="21">
        <v>12969.71</v>
      </c>
      <c r="I94" s="33">
        <f>I86</f>
        <v>83280.61</v>
      </c>
      <c r="J94" s="21">
        <v>85000</v>
      </c>
      <c r="K94" s="90">
        <f t="shared" si="8"/>
        <v>-2.0228117647058817E-2</v>
      </c>
      <c r="L94" s="91">
        <v>150000</v>
      </c>
      <c r="M94" s="24"/>
      <c r="X94" s="2"/>
    </row>
    <row r="95" spans="1:24" outlineLevel="1" x14ac:dyDescent="0.25">
      <c r="B95" s="18"/>
      <c r="C95" s="5"/>
      <c r="D95" s="25" t="s">
        <v>91</v>
      </c>
      <c r="E95" s="5"/>
      <c r="F95" s="5"/>
      <c r="G95" s="19"/>
      <c r="H95" s="21"/>
      <c r="I95" s="33"/>
      <c r="J95" s="21"/>
      <c r="K95" s="90"/>
      <c r="L95" s="91">
        <v>30000</v>
      </c>
      <c r="M95" s="24"/>
      <c r="X95" s="2"/>
    </row>
    <row r="96" spans="1:24" outlineLevel="1" x14ac:dyDescent="0.25">
      <c r="B96" s="165"/>
      <c r="C96" s="166"/>
      <c r="D96" s="167" t="s">
        <v>93</v>
      </c>
      <c r="E96" s="166"/>
      <c r="F96" s="168"/>
      <c r="G96" s="96"/>
      <c r="H96" s="97">
        <v>4066.57</v>
      </c>
      <c r="I96" s="183">
        <v>0</v>
      </c>
      <c r="J96" s="28">
        <v>9000</v>
      </c>
      <c r="K96" s="92">
        <f t="shared" ref="K96" si="9">(I96-J96)/J96</f>
        <v>-1</v>
      </c>
      <c r="L96" s="91">
        <v>9000</v>
      </c>
      <c r="M96" s="30"/>
      <c r="X96" s="2"/>
    </row>
    <row r="97" spans="1:24" ht="16.5" thickBot="1" x14ac:dyDescent="0.3">
      <c r="B97" s="35"/>
      <c r="C97" s="36" t="s">
        <v>94</v>
      </c>
      <c r="D97" s="36"/>
      <c r="E97" s="36"/>
      <c r="F97" s="38"/>
      <c r="G97" s="98">
        <f>SUM(G89:G96)</f>
        <v>253.99</v>
      </c>
      <c r="H97" s="99">
        <f>SUM(H89:H96)</f>
        <v>60945.9</v>
      </c>
      <c r="I97" s="188">
        <f>SUM(I89:I96)</f>
        <v>91280.61</v>
      </c>
      <c r="J97" s="99">
        <f>SUM(J89:J96)</f>
        <v>112000</v>
      </c>
      <c r="K97" s="100">
        <f>(I97-J97)/J97</f>
        <v>-0.18499455357142858</v>
      </c>
      <c r="L97" s="61">
        <f>SUM(L91:L96)</f>
        <v>201500</v>
      </c>
      <c r="M97" s="101">
        <f t="shared" ref="M97:M102" si="10">(L97-I97)/I97</f>
        <v>1.2074786748248068</v>
      </c>
      <c r="X97" s="2"/>
    </row>
    <row r="98" spans="1:24" outlineLevel="1" x14ac:dyDescent="0.25">
      <c r="A98" s="5"/>
      <c r="B98" s="65" t="s">
        <v>95</v>
      </c>
      <c r="C98" s="5"/>
      <c r="D98" s="5"/>
      <c r="E98" s="5"/>
      <c r="F98" s="19"/>
      <c r="G98" s="102"/>
      <c r="H98" s="21"/>
      <c r="I98" s="33"/>
      <c r="J98" s="21"/>
      <c r="K98" s="90"/>
      <c r="L98" s="21"/>
      <c r="M98" s="24"/>
      <c r="S98" s="4"/>
      <c r="X98" s="2"/>
    </row>
    <row r="99" spans="1:24" s="9" customFormat="1" outlineLevel="1" x14ac:dyDescent="0.25">
      <c r="A99" s="5"/>
      <c r="B99" s="18"/>
      <c r="C99" s="25" t="s">
        <v>96</v>
      </c>
      <c r="D99" s="5"/>
      <c r="E99" s="5"/>
      <c r="F99" s="19"/>
      <c r="G99" s="19">
        <v>0</v>
      </c>
      <c r="H99" s="20">
        <v>0</v>
      </c>
      <c r="I99" s="33">
        <v>0</v>
      </c>
      <c r="J99" s="21">
        <v>7000</v>
      </c>
      <c r="K99" s="90">
        <f t="shared" ref="K99:K102" si="11">(I99-J99)/J99</f>
        <v>-1</v>
      </c>
      <c r="L99" s="91">
        <v>8000</v>
      </c>
      <c r="M99" s="24">
        <v>1</v>
      </c>
      <c r="O99" s="2"/>
      <c r="P99" s="2"/>
      <c r="Q99" s="2"/>
      <c r="R99" s="2"/>
    </row>
    <row r="100" spans="1:24" outlineLevel="1" x14ac:dyDescent="0.25">
      <c r="A100" s="5"/>
      <c r="B100" s="18"/>
      <c r="C100" s="25" t="s">
        <v>97</v>
      </c>
      <c r="D100" s="5"/>
      <c r="E100" s="5"/>
      <c r="F100" s="19"/>
      <c r="G100" s="96">
        <v>0</v>
      </c>
      <c r="H100" s="52">
        <v>0</v>
      </c>
      <c r="I100" s="183">
        <v>0</v>
      </c>
      <c r="J100" s="28">
        <v>2000</v>
      </c>
      <c r="K100" s="92">
        <f t="shared" si="11"/>
        <v>-1</v>
      </c>
      <c r="L100" s="91">
        <v>2000</v>
      </c>
      <c r="M100" s="30">
        <v>1</v>
      </c>
      <c r="S100" s="4"/>
      <c r="X100" s="2"/>
    </row>
    <row r="101" spans="1:24" ht="16.5" thickBot="1" x14ac:dyDescent="0.3">
      <c r="A101" s="25"/>
      <c r="B101" s="53"/>
      <c r="C101" s="37" t="s">
        <v>98</v>
      </c>
      <c r="D101" s="37"/>
      <c r="E101" s="37"/>
      <c r="F101" s="123"/>
      <c r="G101" s="39">
        <f>ROUND(SUM(G98:G100),5)</f>
        <v>0</v>
      </c>
      <c r="H101" s="40">
        <f t="shared" ref="H101:I101" si="12">ROUND(SUM(H98:H100),5)</f>
        <v>0</v>
      </c>
      <c r="I101" s="66">
        <f t="shared" si="12"/>
        <v>0</v>
      </c>
      <c r="J101" s="40">
        <f>ROUND(SUM(J98:J100),5)</f>
        <v>9000</v>
      </c>
      <c r="K101" s="57">
        <f t="shared" si="11"/>
        <v>-1</v>
      </c>
      <c r="L101" s="40">
        <f>SUM(L99:L100)</f>
        <v>10000</v>
      </c>
      <c r="M101" s="43">
        <v>1</v>
      </c>
      <c r="N101" s="2" t="s">
        <v>134</v>
      </c>
      <c r="S101" s="4"/>
      <c r="X101" s="2"/>
    </row>
    <row r="102" spans="1:24" ht="16.5" thickBot="1" x14ac:dyDescent="0.3">
      <c r="A102" s="5"/>
      <c r="B102" s="160" t="s">
        <v>100</v>
      </c>
      <c r="C102" s="161"/>
      <c r="D102" s="161"/>
      <c r="E102" s="161"/>
      <c r="F102" s="162"/>
      <c r="G102" s="103">
        <f>G88-G97-G101</f>
        <v>275069.01</v>
      </c>
      <c r="H102" s="104">
        <f>H88-H97-H101</f>
        <v>265478.43999999994</v>
      </c>
      <c r="I102" s="187">
        <f>I88-I97-I101</f>
        <v>297478.89</v>
      </c>
      <c r="J102" s="78">
        <f>J88-J97-J101</f>
        <v>271021</v>
      </c>
      <c r="K102" s="105">
        <f t="shared" si="11"/>
        <v>9.7623025522007564E-2</v>
      </c>
      <c r="L102" s="104">
        <f>L88-L97-L101</f>
        <v>295978.89</v>
      </c>
      <c r="M102" s="106">
        <f t="shared" si="10"/>
        <v>-5.0423746034550547E-3</v>
      </c>
      <c r="X102" s="2"/>
    </row>
    <row r="103" spans="1:24" ht="17.25" thickTop="1" thickBot="1" x14ac:dyDescent="0.3">
      <c r="B103" s="35"/>
      <c r="C103" s="82" t="s">
        <v>103</v>
      </c>
      <c r="D103" s="36"/>
      <c r="E103" s="36"/>
      <c r="F103" s="36"/>
      <c r="G103" s="107"/>
      <c r="H103" s="107"/>
      <c r="I103" s="108"/>
      <c r="J103" s="107"/>
      <c r="K103" s="109"/>
      <c r="L103" s="68"/>
      <c r="M103" s="110"/>
      <c r="X103" s="2"/>
    </row>
    <row r="104" spans="1:24" ht="16.5" thickBot="1" x14ac:dyDescent="0.3">
      <c r="B104" s="5"/>
      <c r="C104" s="5"/>
      <c r="D104" s="5"/>
      <c r="E104" s="5"/>
      <c r="F104" s="5"/>
      <c r="G104" s="5"/>
      <c r="H104" s="111"/>
      <c r="I104" s="112"/>
      <c r="J104" s="111"/>
      <c r="K104" s="113"/>
      <c r="L104" s="45"/>
      <c r="M104" s="113"/>
      <c r="X104" s="2"/>
    </row>
    <row r="105" spans="1:24" x14ac:dyDescent="0.25">
      <c r="B105" s="323" t="s">
        <v>146</v>
      </c>
      <c r="C105" s="324"/>
      <c r="D105" s="324"/>
      <c r="E105" s="324"/>
      <c r="F105" s="325"/>
      <c r="G105" s="326" t="s">
        <v>107</v>
      </c>
      <c r="H105" s="327"/>
      <c r="I105" s="327"/>
      <c r="J105" s="327"/>
      <c r="K105" s="327"/>
      <c r="L105" s="327"/>
      <c r="M105" s="8"/>
      <c r="X105" s="2"/>
    </row>
    <row r="106" spans="1:24" ht="16.5" thickBot="1" x14ac:dyDescent="0.3">
      <c r="B106" s="320" t="s">
        <v>147</v>
      </c>
      <c r="C106" s="321"/>
      <c r="D106" s="321"/>
      <c r="E106" s="321"/>
      <c r="F106" s="322"/>
      <c r="G106" s="11" t="s">
        <v>2</v>
      </c>
      <c r="H106" s="12" t="s">
        <v>3</v>
      </c>
      <c r="I106" s="181" t="s">
        <v>104</v>
      </c>
      <c r="J106" s="13" t="s">
        <v>101</v>
      </c>
      <c r="K106" s="14" t="str">
        <f>K82</f>
        <v>Var</v>
      </c>
      <c r="L106" s="15" t="s">
        <v>102</v>
      </c>
      <c r="M106" s="16" t="str">
        <f>M82</f>
        <v>Var</v>
      </c>
      <c r="X106" s="2"/>
    </row>
    <row r="107" spans="1:24" outlineLevel="1" x14ac:dyDescent="0.25">
      <c r="B107" s="18" t="s">
        <v>4</v>
      </c>
      <c r="D107" s="5"/>
      <c r="E107" s="5"/>
      <c r="F107" s="5"/>
      <c r="G107" s="19">
        <v>-89574</v>
      </c>
      <c r="H107" s="20">
        <v>-76646</v>
      </c>
      <c r="I107" s="33">
        <v>-42816.46</v>
      </c>
      <c r="J107" s="21">
        <v>-38564</v>
      </c>
      <c r="K107" s="90">
        <f>(I107-J107)/J107</f>
        <v>0.1102702001867026</v>
      </c>
      <c r="L107" s="21">
        <f>I145</f>
        <v>-3936.2966699999961</v>
      </c>
      <c r="M107" s="24">
        <f>(L107-I107)/I107</f>
        <v>-0.90806580763566169</v>
      </c>
      <c r="X107" s="2"/>
    </row>
    <row r="108" spans="1:24" outlineLevel="3" x14ac:dyDescent="0.25">
      <c r="A108" s="5"/>
      <c r="B108" s="18"/>
      <c r="C108" s="5"/>
      <c r="D108" s="5"/>
      <c r="E108" s="25" t="s">
        <v>5</v>
      </c>
      <c r="F108" s="5"/>
      <c r="G108" s="19"/>
      <c r="H108" s="20"/>
      <c r="I108" s="33"/>
      <c r="J108" s="21"/>
      <c r="K108" s="90"/>
      <c r="L108" s="21"/>
      <c r="M108" s="24"/>
      <c r="N108" s="4"/>
      <c r="X108" s="2"/>
    </row>
    <row r="109" spans="1:24" outlineLevel="3" x14ac:dyDescent="0.25">
      <c r="A109" s="5"/>
      <c r="B109" s="18"/>
      <c r="C109" s="5"/>
      <c r="D109" s="5"/>
      <c r="E109" s="5"/>
      <c r="F109" s="25" t="s">
        <v>6</v>
      </c>
      <c r="G109" s="23">
        <v>13119</v>
      </c>
      <c r="H109" s="21">
        <v>12461</v>
      </c>
      <c r="I109" s="33">
        <v>13000</v>
      </c>
      <c r="J109" s="21">
        <v>15000</v>
      </c>
      <c r="K109" s="90">
        <f>(I109-J109)/J109</f>
        <v>-0.13333333333333333</v>
      </c>
      <c r="L109" s="91">
        <v>16000</v>
      </c>
      <c r="M109" s="24">
        <f>(J109-L109)/L109</f>
        <v>-6.25E-2</v>
      </c>
      <c r="N109" s="4"/>
      <c r="X109" s="2"/>
    </row>
    <row r="110" spans="1:24" outlineLevel="3" x14ac:dyDescent="0.25">
      <c r="A110" s="5"/>
      <c r="B110" s="18"/>
      <c r="C110" s="5"/>
      <c r="D110" s="5"/>
      <c r="E110" s="5"/>
      <c r="F110" s="25" t="s">
        <v>7</v>
      </c>
      <c r="G110" s="27">
        <v>0</v>
      </c>
      <c r="H110" s="28">
        <v>0</v>
      </c>
      <c r="I110" s="183">
        <v>0</v>
      </c>
      <c r="J110" s="28"/>
      <c r="K110" s="92"/>
      <c r="L110" s="91">
        <v>0</v>
      </c>
      <c r="M110" s="30"/>
      <c r="N110" s="4"/>
      <c r="X110" s="2"/>
    </row>
    <row r="111" spans="1:24" outlineLevel="2" x14ac:dyDescent="0.25">
      <c r="A111" s="5"/>
      <c r="B111" s="18"/>
      <c r="C111" s="5"/>
      <c r="D111" s="5"/>
      <c r="E111" s="25" t="s">
        <v>8</v>
      </c>
      <c r="F111" s="5"/>
      <c r="G111" s="23">
        <f>ROUND(SUM(G108:G110),5)</f>
        <v>13119</v>
      </c>
      <c r="H111" s="21">
        <f>ROUND(SUM(H108:H110),5)</f>
        <v>12461</v>
      </c>
      <c r="I111" s="33">
        <f>ROUND(SUM(I108:I110),5)</f>
        <v>13000</v>
      </c>
      <c r="J111" s="21">
        <f>ROUND(SUM(J108:J110),5)</f>
        <v>15000</v>
      </c>
      <c r="K111" s="90">
        <f>(I111-J111)/J111</f>
        <v>-0.13333333333333333</v>
      </c>
      <c r="L111" s="21">
        <f>ROUND(SUM(L108:L110),5)</f>
        <v>16000</v>
      </c>
      <c r="M111" s="24">
        <f t="shared" ref="M111:M133" si="13">(L111-I111)/I111</f>
        <v>0.23076923076923078</v>
      </c>
      <c r="N111" s="4" t="s">
        <v>149</v>
      </c>
      <c r="X111" s="2"/>
    </row>
    <row r="112" spans="1:24" outlineLevel="3" x14ac:dyDescent="0.25">
      <c r="A112" s="5"/>
      <c r="B112" s="18"/>
      <c r="C112" s="5"/>
      <c r="D112" s="5"/>
      <c r="E112" s="25" t="s">
        <v>10</v>
      </c>
      <c r="F112" s="5"/>
      <c r="G112" s="19"/>
      <c r="H112" s="20"/>
      <c r="I112" s="33"/>
      <c r="J112" s="21"/>
      <c r="K112" s="90"/>
      <c r="L112" s="21"/>
      <c r="M112" s="24"/>
      <c r="N112" s="4"/>
      <c r="X112" s="2"/>
    </row>
    <row r="113" spans="1:24" outlineLevel="3" x14ac:dyDescent="0.25">
      <c r="A113" s="5"/>
      <c r="B113" s="18"/>
      <c r="C113" s="5"/>
      <c r="D113" s="5"/>
      <c r="E113" s="5"/>
      <c r="F113" s="25" t="s">
        <v>11</v>
      </c>
      <c r="G113" s="23">
        <v>144</v>
      </c>
      <c r="H113" s="21">
        <v>144</v>
      </c>
      <c r="I113" s="33">
        <f>148/0.75</f>
        <v>197.33333333333334</v>
      </c>
      <c r="J113" s="21">
        <v>0</v>
      </c>
      <c r="K113" s="90"/>
      <c r="L113" s="114"/>
      <c r="M113" s="24">
        <f t="shared" si="13"/>
        <v>-1</v>
      </c>
      <c r="N113" s="4"/>
      <c r="X113" s="2"/>
    </row>
    <row r="114" spans="1:24" outlineLevel="3" x14ac:dyDescent="0.25">
      <c r="A114" s="5"/>
      <c r="B114" s="18"/>
      <c r="C114" s="5"/>
      <c r="D114" s="5"/>
      <c r="E114" s="5"/>
      <c r="F114" s="25" t="s">
        <v>12</v>
      </c>
      <c r="G114" s="23">
        <v>67584</v>
      </c>
      <c r="H114" s="28">
        <v>67728</v>
      </c>
      <c r="I114" s="183">
        <v>95127</v>
      </c>
      <c r="J114" s="21">
        <v>95000</v>
      </c>
      <c r="K114" s="92">
        <f t="shared" ref="K114:K115" si="14">(I114-J114)/J114</f>
        <v>1.336842105263158E-3</v>
      </c>
      <c r="L114" s="115">
        <v>125000</v>
      </c>
      <c r="M114" s="30">
        <f t="shared" si="13"/>
        <v>0.31403281928369442</v>
      </c>
      <c r="N114" s="4"/>
      <c r="X114" s="2"/>
    </row>
    <row r="115" spans="1:24" outlineLevel="2" x14ac:dyDescent="0.25">
      <c r="A115" s="5"/>
      <c r="B115" s="18"/>
      <c r="C115" s="5"/>
      <c r="D115" s="5"/>
      <c r="E115" s="25" t="s">
        <v>13</v>
      </c>
      <c r="F115" s="5"/>
      <c r="G115" s="23">
        <f>ROUND(SUM(G112:G114),5)</f>
        <v>67728</v>
      </c>
      <c r="H115" s="21">
        <f>ROUND(SUM(H112:H114),5)</f>
        <v>67872</v>
      </c>
      <c r="I115" s="33">
        <f>ROUND(SUM(I112:I114),5)</f>
        <v>95324.333329999994</v>
      </c>
      <c r="J115" s="21">
        <f>ROUND(SUM(J112:J114),5)</f>
        <v>95000</v>
      </c>
      <c r="K115" s="90">
        <f t="shared" si="14"/>
        <v>3.4140350526315161E-3</v>
      </c>
      <c r="L115" s="21">
        <f>ROUND(SUM(L112:L114),5)</f>
        <v>125000</v>
      </c>
      <c r="M115" s="24">
        <f t="shared" si="13"/>
        <v>0.31131260648072773</v>
      </c>
      <c r="N115" s="4" t="s">
        <v>187</v>
      </c>
      <c r="X115" s="2"/>
    </row>
    <row r="116" spans="1:24" outlineLevel="3" x14ac:dyDescent="0.25">
      <c r="A116" s="5"/>
      <c r="B116" s="18"/>
      <c r="C116" s="5"/>
      <c r="D116" s="5"/>
      <c r="E116" s="25" t="s">
        <v>14</v>
      </c>
      <c r="F116" s="5"/>
      <c r="G116" s="19"/>
      <c r="H116" s="20"/>
      <c r="I116" s="33"/>
      <c r="J116" s="21"/>
      <c r="K116" s="90"/>
      <c r="L116" s="21"/>
      <c r="M116" s="24"/>
      <c r="N116" s="4"/>
      <c r="X116" s="2"/>
    </row>
    <row r="117" spans="1:24" outlineLevel="3" x14ac:dyDescent="0.25">
      <c r="A117" s="5"/>
      <c r="B117" s="18"/>
      <c r="C117" s="5"/>
      <c r="D117" s="5"/>
      <c r="E117" s="5"/>
      <c r="F117" s="25" t="s">
        <v>19</v>
      </c>
      <c r="G117" s="23">
        <v>621.59</v>
      </c>
      <c r="H117" s="21">
        <v>533.79999999999995</v>
      </c>
      <c r="I117" s="33">
        <f>392.02+(6*60)</f>
        <v>752.02</v>
      </c>
      <c r="J117" s="21">
        <v>0</v>
      </c>
      <c r="K117" s="90"/>
      <c r="L117" s="91"/>
      <c r="M117" s="24">
        <f t="shared" si="13"/>
        <v>-1</v>
      </c>
      <c r="N117" s="4"/>
      <c r="X117" s="2"/>
    </row>
    <row r="118" spans="1:24" outlineLevel="3" x14ac:dyDescent="0.25">
      <c r="A118" s="5"/>
      <c r="B118" s="18"/>
      <c r="C118" s="5"/>
      <c r="D118" s="5"/>
      <c r="E118" s="5"/>
      <c r="F118" s="25" t="s">
        <v>20</v>
      </c>
      <c r="G118" s="23">
        <v>0</v>
      </c>
      <c r="H118" s="21">
        <v>57.35</v>
      </c>
      <c r="I118" s="33">
        <v>0</v>
      </c>
      <c r="J118" s="21">
        <v>0</v>
      </c>
      <c r="K118" s="90"/>
      <c r="L118" s="114"/>
      <c r="M118" s="24"/>
      <c r="N118" s="4"/>
      <c r="X118" s="2"/>
    </row>
    <row r="119" spans="1:24" outlineLevel="2" x14ac:dyDescent="0.25">
      <c r="A119" s="5"/>
      <c r="B119" s="165"/>
      <c r="C119" s="166"/>
      <c r="D119" s="166"/>
      <c r="E119" s="167" t="s">
        <v>21</v>
      </c>
      <c r="F119" s="168"/>
      <c r="G119" s="27">
        <f>ROUND(SUM(G116:G118),5)</f>
        <v>621.59</v>
      </c>
      <c r="H119" s="194">
        <f>ROUND(SUM(H116:H118),5)</f>
        <v>591.15</v>
      </c>
      <c r="I119" s="183">
        <f>ROUND(SUM(I116:I118),5)</f>
        <v>752.02</v>
      </c>
      <c r="J119" s="28">
        <f>ROUND(SUM(J116:J118),5)</f>
        <v>0</v>
      </c>
      <c r="K119" s="92"/>
      <c r="L119" s="27">
        <f>ROUND(SUM(L116:L118),5)</f>
        <v>0</v>
      </c>
      <c r="M119" s="30">
        <f t="shared" si="13"/>
        <v>-1</v>
      </c>
      <c r="N119" s="4"/>
      <c r="X119" s="2"/>
    </row>
    <row r="120" spans="1:24" s="9" customFormat="1" outlineLevel="1" x14ac:dyDescent="0.25">
      <c r="A120" s="5"/>
      <c r="B120" s="18"/>
      <c r="C120" s="5"/>
      <c r="D120" s="5" t="s">
        <v>23</v>
      </c>
      <c r="E120" s="5"/>
      <c r="F120" s="5"/>
      <c r="G120" s="44">
        <f>ROUND(SUM(G111:G111)+G115+SUM(G119:G119),5)</f>
        <v>81468.59</v>
      </c>
      <c r="H120" s="45">
        <f>ROUND(SUM(H111:H111)+H115+SUM(H119:H119),5)</f>
        <v>80924.149999999994</v>
      </c>
      <c r="I120" s="64">
        <f>ROUND(SUM(I111:I111)+I115+SUM(I119:I119),5)</f>
        <v>109076.35333</v>
      </c>
      <c r="J120" s="45">
        <f>ROUND(SUM(J111:J111)+J115+SUM(J119:J119),5)</f>
        <v>110000</v>
      </c>
      <c r="K120" s="94">
        <f t="shared" ref="K120" si="15">(I120-J120)/J120</f>
        <v>-8.3967879090909268E-3</v>
      </c>
      <c r="L120" s="45">
        <f>ROUND(SUM(L111:L111)+L115+SUM(L119:L119),5)</f>
        <v>141000</v>
      </c>
      <c r="M120" s="47">
        <f t="shared" si="13"/>
        <v>0.29267247845569316</v>
      </c>
    </row>
    <row r="121" spans="1:24" outlineLevel="2" x14ac:dyDescent="0.25">
      <c r="A121" s="5"/>
      <c r="B121" s="18"/>
      <c r="C121" s="5"/>
      <c r="D121" s="25" t="s">
        <v>24</v>
      </c>
      <c r="E121" s="5"/>
      <c r="F121" s="5"/>
      <c r="G121" s="19"/>
      <c r="H121" s="20"/>
      <c r="I121" s="33"/>
      <c r="J121" s="21"/>
      <c r="K121" s="90"/>
      <c r="L121" s="21"/>
      <c r="M121" s="24"/>
      <c r="N121" s="4"/>
      <c r="X121" s="2"/>
    </row>
    <row r="122" spans="1:24" outlineLevel="2" x14ac:dyDescent="0.25">
      <c r="A122" s="5"/>
      <c r="B122" s="18"/>
      <c r="C122" s="5"/>
      <c r="D122" s="25"/>
      <c r="E122" s="25" t="s">
        <v>25</v>
      </c>
      <c r="F122" s="5"/>
      <c r="G122" s="19">
        <v>10000</v>
      </c>
      <c r="H122" s="20">
        <v>30000</v>
      </c>
      <c r="I122" s="33"/>
      <c r="J122" s="34"/>
      <c r="K122" s="116"/>
      <c r="L122" s="34"/>
      <c r="M122" s="117"/>
      <c r="N122" s="4"/>
      <c r="X122" s="2"/>
    </row>
    <row r="123" spans="1:24" outlineLevel="2" x14ac:dyDescent="0.25">
      <c r="A123" s="5"/>
      <c r="B123" s="18"/>
      <c r="C123" s="5"/>
      <c r="D123" s="5"/>
      <c r="E123" s="25" t="s">
        <v>26</v>
      </c>
      <c r="F123" s="5"/>
      <c r="G123" s="23">
        <v>1352</v>
      </c>
      <c r="H123" s="21">
        <v>376</v>
      </c>
      <c r="I123" s="33">
        <v>1504</v>
      </c>
      <c r="J123" s="34"/>
      <c r="K123" s="116"/>
      <c r="L123" s="34"/>
      <c r="M123" s="117">
        <f t="shared" si="13"/>
        <v>-1</v>
      </c>
      <c r="N123" s="4"/>
      <c r="X123" s="2"/>
    </row>
    <row r="124" spans="1:24" outlineLevel="2" x14ac:dyDescent="0.25">
      <c r="A124" s="5"/>
      <c r="B124" s="18"/>
      <c r="C124" s="5"/>
      <c r="D124" s="5"/>
      <c r="E124" s="25" t="s">
        <v>27</v>
      </c>
      <c r="F124" s="5"/>
      <c r="G124" s="23">
        <v>14864.7</v>
      </c>
      <c r="H124" s="21">
        <v>2004.63</v>
      </c>
      <c r="I124" s="33">
        <v>20166.52</v>
      </c>
      <c r="J124" s="34"/>
      <c r="K124" s="116"/>
      <c r="L124" s="34"/>
      <c r="M124" s="117">
        <f t="shared" si="13"/>
        <v>-1</v>
      </c>
      <c r="N124" s="4"/>
      <c r="X124" s="2"/>
    </row>
    <row r="125" spans="1:24" outlineLevel="2" x14ac:dyDescent="0.25">
      <c r="A125" s="5"/>
      <c r="B125" s="18"/>
      <c r="C125" s="5"/>
      <c r="D125" s="5"/>
      <c r="E125" s="25" t="s">
        <v>28</v>
      </c>
      <c r="F125" s="5"/>
      <c r="G125" s="96">
        <v>280.2</v>
      </c>
      <c r="H125" s="97">
        <v>0</v>
      </c>
      <c r="I125" s="183">
        <v>345.3</v>
      </c>
      <c r="J125" s="118"/>
      <c r="K125" s="119"/>
      <c r="L125" s="118"/>
      <c r="M125" s="120">
        <f t="shared" si="13"/>
        <v>-1</v>
      </c>
      <c r="N125" s="4"/>
      <c r="X125" s="2"/>
    </row>
    <row r="126" spans="1:24" outlineLevel="1" x14ac:dyDescent="0.25">
      <c r="A126" s="5"/>
      <c r="B126" s="165"/>
      <c r="C126" s="166"/>
      <c r="D126" s="167" t="s">
        <v>29</v>
      </c>
      <c r="E126" s="166"/>
      <c r="F126" s="168"/>
      <c r="G126" s="27">
        <f>ROUND(SUM(G121:G125),5)</f>
        <v>26496.9</v>
      </c>
      <c r="H126" s="28">
        <f>ROUND(SUM(H121:H125),5)</f>
        <v>32380.63</v>
      </c>
      <c r="I126" s="183">
        <f>ROUND(SUM(I121:I125),5)</f>
        <v>22015.82</v>
      </c>
      <c r="J126" s="28"/>
      <c r="K126" s="48"/>
      <c r="L126" s="28"/>
      <c r="M126" s="49">
        <f t="shared" si="13"/>
        <v>-1</v>
      </c>
      <c r="N126" s="4"/>
      <c r="X126" s="2"/>
    </row>
    <row r="127" spans="1:24" outlineLevel="1" x14ac:dyDescent="0.25">
      <c r="A127" s="5"/>
      <c r="B127" s="18"/>
      <c r="C127" s="5" t="s">
        <v>34</v>
      </c>
      <c r="D127" s="5"/>
      <c r="E127" s="5"/>
      <c r="F127" s="5"/>
      <c r="G127" s="44">
        <f>ROUND(G120+G126,5)</f>
        <v>107965.49</v>
      </c>
      <c r="H127" s="45">
        <f>ROUND(H120+H126,5)</f>
        <v>113304.78</v>
      </c>
      <c r="I127" s="64">
        <f>ROUND(I120+I126,5)</f>
        <v>131092.17332999999</v>
      </c>
      <c r="J127" s="45">
        <f>ROUND(J120+J126,5)</f>
        <v>110000</v>
      </c>
      <c r="K127" s="94">
        <f>(I127-J127)/J127</f>
        <v>0.19174703027272719</v>
      </c>
      <c r="L127" s="45">
        <f>ROUND(L120+L126,5)</f>
        <v>141000</v>
      </c>
      <c r="M127" s="47">
        <f t="shared" si="13"/>
        <v>7.5579086213323446E-2</v>
      </c>
      <c r="N127" s="4"/>
      <c r="X127" s="2"/>
    </row>
    <row r="128" spans="1:24" outlineLevel="2" x14ac:dyDescent="0.25">
      <c r="A128" s="5"/>
      <c r="B128" s="18"/>
      <c r="C128" s="25" t="s">
        <v>35</v>
      </c>
      <c r="D128" s="5"/>
      <c r="E128" s="5"/>
      <c r="F128" s="5"/>
      <c r="G128" s="19"/>
      <c r="H128" s="20"/>
      <c r="I128" s="33"/>
      <c r="J128" s="21"/>
      <c r="K128" s="90"/>
      <c r="L128" s="21"/>
      <c r="M128" s="24"/>
      <c r="N128" s="4"/>
      <c r="X128" s="2"/>
    </row>
    <row r="129" spans="1:24" outlineLevel="2" x14ac:dyDescent="0.25">
      <c r="A129" s="5"/>
      <c r="B129" s="18"/>
      <c r="C129" s="5"/>
      <c r="D129" s="25" t="s">
        <v>36</v>
      </c>
      <c r="E129" s="5"/>
      <c r="F129" s="5"/>
      <c r="G129" s="23">
        <v>206.77</v>
      </c>
      <c r="H129" s="21">
        <v>222.02</v>
      </c>
      <c r="I129" s="33">
        <f>2810.18+6*900</f>
        <v>8210.18</v>
      </c>
      <c r="J129" s="21">
        <v>205</v>
      </c>
      <c r="K129" s="90">
        <f t="shared" ref="K129:K133" si="16">(I129-J129)/J129</f>
        <v>39.049658536585369</v>
      </c>
      <c r="L129" s="91">
        <v>12000</v>
      </c>
      <c r="M129" s="24">
        <f t="shared" si="13"/>
        <v>0.46160011108160837</v>
      </c>
      <c r="N129" s="4" t="s">
        <v>135</v>
      </c>
      <c r="X129" s="2"/>
    </row>
    <row r="130" spans="1:24" outlineLevel="2" x14ac:dyDescent="0.25">
      <c r="A130" s="5"/>
      <c r="B130" s="18"/>
      <c r="C130" s="5"/>
      <c r="D130" s="25" t="s">
        <v>37</v>
      </c>
      <c r="E130" s="5"/>
      <c r="F130" s="5"/>
      <c r="G130" s="23">
        <v>0</v>
      </c>
      <c r="H130" s="21">
        <v>-20000</v>
      </c>
      <c r="I130" s="202">
        <v>10000</v>
      </c>
      <c r="J130" s="21"/>
      <c r="K130" s="90"/>
      <c r="L130" s="91"/>
      <c r="M130" s="24">
        <f t="shared" si="13"/>
        <v>-1</v>
      </c>
      <c r="N130" s="4" t="s">
        <v>136</v>
      </c>
      <c r="X130" s="2"/>
    </row>
    <row r="131" spans="1:24" outlineLevel="2" x14ac:dyDescent="0.25">
      <c r="A131" s="5"/>
      <c r="B131" s="18"/>
      <c r="C131" s="5"/>
      <c r="D131" s="25" t="s">
        <v>38</v>
      </c>
      <c r="E131" s="5"/>
      <c r="F131" s="5"/>
      <c r="G131" s="27">
        <v>0</v>
      </c>
      <c r="H131" s="28">
        <v>0</v>
      </c>
      <c r="I131" s="183">
        <v>0</v>
      </c>
      <c r="J131" s="28">
        <v>100000</v>
      </c>
      <c r="K131" s="92">
        <f t="shared" si="16"/>
        <v>-1</v>
      </c>
      <c r="L131" s="91">
        <v>250000</v>
      </c>
      <c r="M131" s="30">
        <v>1</v>
      </c>
      <c r="N131" s="4" t="s">
        <v>137</v>
      </c>
      <c r="X131" s="2"/>
    </row>
    <row r="132" spans="1:24" ht="16.5" outlineLevel="1" thickBot="1" x14ac:dyDescent="0.3">
      <c r="A132" s="25"/>
      <c r="B132" s="53"/>
      <c r="C132" s="37" t="s">
        <v>39</v>
      </c>
      <c r="D132" s="37"/>
      <c r="E132" s="37"/>
      <c r="F132" s="54"/>
      <c r="G132" s="50">
        <f t="shared" ref="G132:L132" si="17">ROUND(SUM(G128:G131),5)</f>
        <v>206.77</v>
      </c>
      <c r="H132" s="51">
        <f t="shared" si="17"/>
        <v>-19777.98</v>
      </c>
      <c r="I132" s="184">
        <f t="shared" si="17"/>
        <v>18210.18</v>
      </c>
      <c r="J132" s="51">
        <f t="shared" si="17"/>
        <v>100205</v>
      </c>
      <c r="K132" s="93">
        <f t="shared" si="16"/>
        <v>-0.81827074497280583</v>
      </c>
      <c r="L132" s="51">
        <f t="shared" si="17"/>
        <v>262000</v>
      </c>
      <c r="M132" s="55">
        <f t="shared" si="13"/>
        <v>13.387556850069577</v>
      </c>
      <c r="N132" s="4"/>
      <c r="X132" s="2"/>
    </row>
    <row r="133" spans="1:24" x14ac:dyDescent="0.25">
      <c r="A133" s="5"/>
      <c r="B133" s="18" t="s">
        <v>40</v>
      </c>
      <c r="C133" s="5"/>
      <c r="D133" s="5"/>
      <c r="E133" s="5"/>
      <c r="F133" s="5"/>
      <c r="G133" s="44">
        <f>ROUND(SUM(G107:G107)+G127+G132,5)</f>
        <v>18598.259999999998</v>
      </c>
      <c r="H133" s="45">
        <f>ROUND(SUM(H107:H107)+H127+H132,5)</f>
        <v>16880.8</v>
      </c>
      <c r="I133" s="64">
        <f>ROUND(SUM(I107:I107)+I127+I132,5)</f>
        <v>106485.89333000001</v>
      </c>
      <c r="J133" s="45">
        <f>ROUND(SUM(J107:J107)+J127+J132,5)</f>
        <v>171641</v>
      </c>
      <c r="K133" s="94">
        <f t="shared" si="16"/>
        <v>-0.37960106658665466</v>
      </c>
      <c r="L133" s="45">
        <f>ROUND(SUM(L107:L107)+L127+L132,5)</f>
        <v>399063.70332999999</v>
      </c>
      <c r="M133" s="47">
        <f t="shared" si="13"/>
        <v>2.7475734188875212</v>
      </c>
      <c r="N133" s="4"/>
      <c r="X133" s="2"/>
    </row>
    <row r="134" spans="1:24" outlineLevel="1" x14ac:dyDescent="0.25">
      <c r="B134" s="71"/>
      <c r="C134" s="1" t="s">
        <v>108</v>
      </c>
      <c r="G134" s="19"/>
      <c r="H134" s="20"/>
      <c r="I134" s="33"/>
      <c r="J134" s="21"/>
      <c r="K134" s="90"/>
      <c r="L134" s="21"/>
      <c r="M134" s="24"/>
      <c r="N134" s="20"/>
      <c r="O134" s="20"/>
      <c r="S134" s="20"/>
      <c r="T134" s="20"/>
    </row>
    <row r="135" spans="1:24" outlineLevel="1" x14ac:dyDescent="0.25">
      <c r="B135" s="18"/>
      <c r="C135" s="5"/>
      <c r="D135" s="25" t="s">
        <v>87</v>
      </c>
      <c r="E135" s="5"/>
      <c r="F135" s="5"/>
      <c r="G135" s="23">
        <v>18336.63</v>
      </c>
      <c r="H135" s="21">
        <v>9411.15</v>
      </c>
      <c r="I135" s="33">
        <v>11499</v>
      </c>
      <c r="J135" s="21"/>
      <c r="K135" s="90"/>
      <c r="L135" s="27"/>
      <c r="M135" s="24"/>
      <c r="N135" s="2" t="s">
        <v>105</v>
      </c>
      <c r="X135" s="2"/>
    </row>
    <row r="136" spans="1:24" outlineLevel="1" x14ac:dyDescent="0.25">
      <c r="B136" s="18"/>
      <c r="C136" s="5"/>
      <c r="D136" s="25" t="s">
        <v>156</v>
      </c>
      <c r="E136" s="5"/>
      <c r="F136" s="5"/>
      <c r="I136" s="33"/>
      <c r="L136" s="196">
        <v>35000</v>
      </c>
      <c r="M136" s="24"/>
      <c r="N136" s="2" t="s">
        <v>109</v>
      </c>
      <c r="X136" s="2"/>
    </row>
    <row r="137" spans="1:24" outlineLevel="1" x14ac:dyDescent="0.25">
      <c r="B137" s="18"/>
      <c r="C137" s="5"/>
      <c r="D137" s="25" t="s">
        <v>89</v>
      </c>
      <c r="E137" s="5"/>
      <c r="G137" s="19">
        <v>3675.45</v>
      </c>
      <c r="H137" s="20">
        <v>50</v>
      </c>
      <c r="I137" s="33">
        <f>16939+30000</f>
        <v>46939</v>
      </c>
      <c r="J137" s="21">
        <v>113000</v>
      </c>
      <c r="K137" s="90">
        <f>(I137-J137)/J137</f>
        <v>-0.58461061946902659</v>
      </c>
      <c r="L137" s="122">
        <v>50000</v>
      </c>
      <c r="M137" s="24"/>
      <c r="X137" s="2"/>
    </row>
    <row r="138" spans="1:24" outlineLevel="1" x14ac:dyDescent="0.25">
      <c r="B138" s="18"/>
      <c r="C138" s="5"/>
      <c r="D138" s="25" t="s">
        <v>90</v>
      </c>
      <c r="E138" s="5"/>
      <c r="F138" s="5"/>
      <c r="G138" s="19"/>
      <c r="H138" s="20"/>
      <c r="I138" s="33"/>
      <c r="J138" s="21"/>
      <c r="K138" s="90"/>
      <c r="L138" s="91">
        <v>250000</v>
      </c>
      <c r="M138" s="24"/>
      <c r="N138" s="2" t="s">
        <v>106</v>
      </c>
      <c r="X138" s="2"/>
    </row>
    <row r="139" spans="1:24" outlineLevel="1" x14ac:dyDescent="0.25">
      <c r="B139" s="18"/>
      <c r="C139" s="5"/>
      <c r="D139" s="25" t="s">
        <v>92</v>
      </c>
      <c r="E139" s="5"/>
      <c r="F139" s="5"/>
      <c r="G139" s="19">
        <v>20864</v>
      </c>
      <c r="H139" s="20"/>
      <c r="I139" s="33"/>
      <c r="J139" s="21"/>
      <c r="K139" s="90"/>
      <c r="L139" s="21"/>
      <c r="M139" s="24"/>
      <c r="X139" s="2"/>
    </row>
    <row r="140" spans="1:24" outlineLevel="1" x14ac:dyDescent="0.25">
      <c r="B140" s="165"/>
      <c r="C140" s="166"/>
      <c r="D140" s="167" t="s">
        <v>93</v>
      </c>
      <c r="E140" s="166"/>
      <c r="F140" s="168"/>
      <c r="G140" s="27">
        <v>0</v>
      </c>
      <c r="H140" s="28">
        <v>0</v>
      </c>
      <c r="I140" s="183">
        <v>0</v>
      </c>
      <c r="J140" s="28">
        <v>3000</v>
      </c>
      <c r="K140" s="92">
        <f t="shared" ref="K140:K145" si="18">(I140-J140)/J140</f>
        <v>-1</v>
      </c>
      <c r="L140" s="91">
        <v>0</v>
      </c>
      <c r="M140" s="30"/>
      <c r="N140" s="2" t="s">
        <v>138</v>
      </c>
      <c r="X140" s="2"/>
    </row>
    <row r="141" spans="1:24" ht="16.5" thickBot="1" x14ac:dyDescent="0.3">
      <c r="B141" s="174"/>
      <c r="C141" s="175" t="s">
        <v>94</v>
      </c>
      <c r="D141" s="175"/>
      <c r="E141" s="175"/>
      <c r="F141" s="176"/>
      <c r="G141" s="98">
        <f>SUM(G135:G140)</f>
        <v>42876.08</v>
      </c>
      <c r="H141" s="99">
        <f>SUM(H135:H140)</f>
        <v>9461.15</v>
      </c>
      <c r="I141" s="188">
        <f>SUM(I135:I140)</f>
        <v>58438</v>
      </c>
      <c r="J141" s="99">
        <f>SUM(J135:J140)</f>
        <v>116000</v>
      </c>
      <c r="K141" s="100">
        <f>(I141-J141)/J141</f>
        <v>-0.49622413793103448</v>
      </c>
      <c r="L141" s="99">
        <f>SUM(L135:L140)</f>
        <v>335000</v>
      </c>
      <c r="M141" s="101">
        <f>(L141-I141)/I141</f>
        <v>4.7325712721174575</v>
      </c>
      <c r="N141" s="4"/>
      <c r="X141" s="2"/>
    </row>
    <row r="142" spans="1:24" s="9" customFormat="1" outlineLevel="1" x14ac:dyDescent="0.25">
      <c r="A142" s="5"/>
      <c r="B142" s="18"/>
      <c r="C142" s="25" t="s">
        <v>96</v>
      </c>
      <c r="D142" s="5"/>
      <c r="E142" s="5"/>
      <c r="F142" s="19"/>
      <c r="G142" s="23">
        <v>16152.39</v>
      </c>
      <c r="H142" s="21">
        <v>14235.92</v>
      </c>
      <c r="I142" s="33">
        <f>7432.77+6*1050</f>
        <v>13732.77</v>
      </c>
      <c r="J142" s="21">
        <v>16000</v>
      </c>
      <c r="K142" s="90">
        <f t="shared" si="18"/>
        <v>-0.14170187499999998</v>
      </c>
      <c r="L142" s="91">
        <v>15000</v>
      </c>
      <c r="M142" s="24">
        <f t="shared" ref="M142:M145" si="19">(L142-I142)/I142</f>
        <v>9.2277814308402428E-2</v>
      </c>
      <c r="N142" s="2" t="s">
        <v>139</v>
      </c>
    </row>
    <row r="143" spans="1:24" outlineLevel="1" x14ac:dyDescent="0.25">
      <c r="A143" s="5"/>
      <c r="B143" s="18"/>
      <c r="C143" s="25" t="s">
        <v>97</v>
      </c>
      <c r="D143" s="5"/>
      <c r="E143" s="5"/>
      <c r="F143" s="19"/>
      <c r="G143" s="27">
        <v>36215.22</v>
      </c>
      <c r="H143" s="28">
        <v>36000.19</v>
      </c>
      <c r="I143" s="183">
        <f>33451.42+6*800</f>
        <v>38251.42</v>
      </c>
      <c r="J143" s="28">
        <v>38000</v>
      </c>
      <c r="K143" s="92">
        <f t="shared" si="18"/>
        <v>6.6163157894736386E-3</v>
      </c>
      <c r="L143" s="91">
        <v>38000</v>
      </c>
      <c r="M143" s="30">
        <f t="shared" si="19"/>
        <v>-6.5728278845595348E-3</v>
      </c>
      <c r="N143" s="2" t="s">
        <v>140</v>
      </c>
      <c r="X143" s="2"/>
    </row>
    <row r="144" spans="1:24" ht="16.5" thickBot="1" x14ac:dyDescent="0.3">
      <c r="A144" s="25"/>
      <c r="B144" s="53" t="s">
        <v>117</v>
      </c>
      <c r="C144" s="37" t="s">
        <v>98</v>
      </c>
      <c r="D144" s="37"/>
      <c r="E144" s="37"/>
      <c r="F144" s="123"/>
      <c r="G144" s="39">
        <f>ROUND(SUM(G142:G143),5)</f>
        <v>52367.61</v>
      </c>
      <c r="H144" s="40">
        <f>ROUND(SUM(H142:H143),5)</f>
        <v>50236.11</v>
      </c>
      <c r="I144" s="66">
        <f>ROUND(SUM(I142:I143),5)</f>
        <v>51984.19</v>
      </c>
      <c r="J144" s="40">
        <f>ROUND(SUM(J142:J143),5)</f>
        <v>54000</v>
      </c>
      <c r="K144" s="57">
        <f t="shared" si="18"/>
        <v>-3.7329814814814774E-2</v>
      </c>
      <c r="L144" s="40">
        <f>SUM(L142:L143)</f>
        <v>53000</v>
      </c>
      <c r="M144" s="43">
        <f t="shared" si="19"/>
        <v>1.954074883151969E-2</v>
      </c>
      <c r="N144" s="4"/>
      <c r="X144" s="2"/>
    </row>
    <row r="145" spans="1:24" ht="16.5" thickBot="1" x14ac:dyDescent="0.3">
      <c r="A145" s="5"/>
      <c r="B145" s="160" t="s">
        <v>100</v>
      </c>
      <c r="C145" s="161"/>
      <c r="D145" s="161"/>
      <c r="E145" s="161"/>
      <c r="F145" s="162"/>
      <c r="G145" s="103">
        <f>G133-G141-G144</f>
        <v>-76645.430000000008</v>
      </c>
      <c r="H145" s="104">
        <f>H133-H141-H144</f>
        <v>-42816.46</v>
      </c>
      <c r="I145" s="187">
        <f>I133-I141-I144</f>
        <v>-3936.2966699999961</v>
      </c>
      <c r="J145" s="104">
        <f>J133-J141-J144</f>
        <v>1641</v>
      </c>
      <c r="K145" s="105">
        <f t="shared" si="18"/>
        <v>-3.3987182632541111</v>
      </c>
      <c r="L145" s="104">
        <f>L133-L141-L144</f>
        <v>11063.703329999989</v>
      </c>
      <c r="M145" s="106">
        <f t="shared" si="19"/>
        <v>-3.8106883849280599</v>
      </c>
      <c r="N145" s="2" t="s">
        <v>145</v>
      </c>
      <c r="X145" s="2"/>
    </row>
    <row r="146" spans="1:24" ht="17.25" thickTop="1" thickBot="1" x14ac:dyDescent="0.3">
      <c r="B146" s="81"/>
      <c r="C146" s="82" t="s">
        <v>103</v>
      </c>
      <c r="D146" s="124"/>
      <c r="E146" s="124"/>
      <c r="F146" s="124"/>
      <c r="G146" s="125"/>
      <c r="H146" s="125"/>
      <c r="I146" s="125"/>
      <c r="J146" s="125"/>
      <c r="K146" s="85"/>
      <c r="L146" s="125"/>
      <c r="M146" s="126"/>
    </row>
    <row r="147" spans="1:24" ht="16.5" thickBot="1" x14ac:dyDescent="0.3"/>
    <row r="148" spans="1:24" x14ac:dyDescent="0.25">
      <c r="B148" s="323" t="s">
        <v>146</v>
      </c>
      <c r="C148" s="324"/>
      <c r="D148" s="324"/>
      <c r="E148" s="324"/>
      <c r="F148" s="325"/>
      <c r="G148" s="326" t="s">
        <v>115</v>
      </c>
      <c r="H148" s="327"/>
      <c r="I148" s="327"/>
      <c r="J148" s="327"/>
      <c r="K148" s="327"/>
      <c r="L148" s="327"/>
      <c r="M148" s="328"/>
      <c r="X148" s="2"/>
    </row>
    <row r="149" spans="1:24" ht="16.5" thickBot="1" x14ac:dyDescent="0.3">
      <c r="B149" s="320" t="s">
        <v>147</v>
      </c>
      <c r="C149" s="321"/>
      <c r="D149" s="321"/>
      <c r="E149" s="321"/>
      <c r="F149" s="322"/>
      <c r="G149" s="11" t="s">
        <v>2</v>
      </c>
      <c r="H149" s="127" t="s">
        <v>3</v>
      </c>
      <c r="I149" s="181" t="s">
        <v>104</v>
      </c>
      <c r="J149" s="13" t="s">
        <v>101</v>
      </c>
      <c r="K149" s="14" t="str">
        <f>K106</f>
        <v>Var</v>
      </c>
      <c r="L149" s="15" t="s">
        <v>102</v>
      </c>
      <c r="M149" s="16" t="str">
        <f>M106</f>
        <v>Var</v>
      </c>
      <c r="X149" s="2"/>
    </row>
    <row r="150" spans="1:24" ht="16.5" thickBot="1" x14ac:dyDescent="0.3">
      <c r="B150" s="18" t="s">
        <v>4</v>
      </c>
      <c r="D150" s="5"/>
      <c r="E150" s="5"/>
      <c r="F150" s="5"/>
      <c r="G150" s="178">
        <v>104102</v>
      </c>
      <c r="H150" s="179">
        <v>104102</v>
      </c>
      <c r="I150" s="186">
        <v>103283</v>
      </c>
      <c r="J150" s="154">
        <v>104102</v>
      </c>
      <c r="K150" s="180">
        <f>(I150-J150)/J150</f>
        <v>-7.8672840099133536E-3</v>
      </c>
      <c r="L150" s="154">
        <f>I154</f>
        <v>100835</v>
      </c>
      <c r="M150" s="156">
        <f>(L150-I150)/I150</f>
        <v>-2.3701867683936367E-2</v>
      </c>
      <c r="X150" s="2"/>
    </row>
    <row r="151" spans="1:24" outlineLevel="1" x14ac:dyDescent="0.25">
      <c r="A151" s="5"/>
      <c r="B151" s="18"/>
      <c r="C151" s="25" t="s">
        <v>37</v>
      </c>
      <c r="E151" s="5"/>
      <c r="F151" s="5"/>
      <c r="G151" s="128">
        <v>0</v>
      </c>
      <c r="H151" s="129">
        <v>20000</v>
      </c>
      <c r="I151" s="202">
        <v>10000</v>
      </c>
      <c r="J151" s="21"/>
      <c r="K151" s="90"/>
      <c r="L151" s="115">
        <v>0</v>
      </c>
      <c r="M151" s="24">
        <f t="shared" ref="M151" si="20">(L151-I151)/I151</f>
        <v>-1</v>
      </c>
      <c r="N151" s="4" t="s">
        <v>141</v>
      </c>
      <c r="X151" s="2"/>
    </row>
    <row r="152" spans="1:24" s="9" customFormat="1" outlineLevel="1" x14ac:dyDescent="0.25">
      <c r="A152" s="5"/>
      <c r="B152" s="18"/>
      <c r="C152" s="25" t="s">
        <v>96</v>
      </c>
      <c r="D152" s="5"/>
      <c r="E152" s="5"/>
      <c r="F152" s="19"/>
      <c r="G152" s="128">
        <v>0</v>
      </c>
      <c r="H152" s="129">
        <v>2273</v>
      </c>
      <c r="I152" s="33">
        <f>123/0.75</f>
        <v>164</v>
      </c>
      <c r="J152" s="21">
        <v>404</v>
      </c>
      <c r="K152" s="90">
        <f t="shared" ref="K152:K154" si="21">(I152-J152)/J152</f>
        <v>-0.59405940594059403</v>
      </c>
      <c r="L152" s="91">
        <v>0</v>
      </c>
      <c r="M152" s="24">
        <f t="shared" ref="M152:M154" si="22">(L152-I152)/I152</f>
        <v>-1</v>
      </c>
    </row>
    <row r="153" spans="1:24" ht="16.5" outlineLevel="1" thickBot="1" x14ac:dyDescent="0.3">
      <c r="A153" s="5"/>
      <c r="B153" s="35"/>
      <c r="C153" s="37" t="s">
        <v>97</v>
      </c>
      <c r="D153" s="36"/>
      <c r="E153" s="36"/>
      <c r="F153" s="121"/>
      <c r="G153" s="130">
        <v>0</v>
      </c>
      <c r="H153" s="131">
        <v>18546</v>
      </c>
      <c r="I153" s="66">
        <f>(813/0.75)+11200</f>
        <v>12284</v>
      </c>
      <c r="J153" s="40">
        <v>1000</v>
      </c>
      <c r="K153" s="57">
        <f t="shared" si="21"/>
        <v>11.284000000000001</v>
      </c>
      <c r="L153" s="132">
        <v>0</v>
      </c>
      <c r="M153" s="43">
        <f t="shared" si="22"/>
        <v>-1</v>
      </c>
      <c r="N153" s="4"/>
      <c r="X153" s="2"/>
    </row>
    <row r="154" spans="1:24" ht="16.5" thickBot="1" x14ac:dyDescent="0.3">
      <c r="A154" s="5"/>
      <c r="B154" s="160" t="s">
        <v>100</v>
      </c>
      <c r="C154" s="161"/>
      <c r="D154" s="161"/>
      <c r="E154" s="161"/>
      <c r="F154" s="162"/>
      <c r="G154" s="103">
        <f>G150+G151-G152-G153</f>
        <v>104102</v>
      </c>
      <c r="H154" s="133">
        <f>H150+H151-H152-H153</f>
        <v>103283</v>
      </c>
      <c r="I154" s="187">
        <f>I150+I151-I152-I153</f>
        <v>100835</v>
      </c>
      <c r="J154" s="104">
        <f>J150-J152-J153</f>
        <v>102698</v>
      </c>
      <c r="K154" s="105">
        <f t="shared" si="21"/>
        <v>-1.8140567489142924E-2</v>
      </c>
      <c r="L154" s="104">
        <f>L150-L152-L153</f>
        <v>100835</v>
      </c>
      <c r="M154" s="106">
        <f t="shared" si="22"/>
        <v>0</v>
      </c>
      <c r="X154" s="2"/>
    </row>
    <row r="155" spans="1:24" ht="17.25" thickTop="1" thickBot="1" x14ac:dyDescent="0.3">
      <c r="B155" s="81"/>
      <c r="C155" s="82" t="str">
        <f>C146</f>
        <v>"Italics" are rough estimate as of Feb 2024</v>
      </c>
      <c r="D155" s="124"/>
      <c r="E155" s="124"/>
      <c r="F155" s="124"/>
      <c r="G155" s="125"/>
      <c r="H155" s="125"/>
      <c r="I155" s="125"/>
      <c r="J155" s="125"/>
      <c r="K155" s="85"/>
      <c r="L155" s="125"/>
      <c r="M155" s="86"/>
    </row>
    <row r="156" spans="1:24" ht="16.5" thickBot="1" x14ac:dyDescent="0.3"/>
    <row r="157" spans="1:24" x14ac:dyDescent="0.25">
      <c r="B157" s="323" t="s">
        <v>146</v>
      </c>
      <c r="C157" s="324"/>
      <c r="D157" s="324"/>
      <c r="E157" s="324"/>
      <c r="F157" s="325"/>
      <c r="G157" s="326" t="s">
        <v>148</v>
      </c>
      <c r="H157" s="327"/>
      <c r="I157" s="327"/>
      <c r="J157" s="327"/>
      <c r="K157" s="327"/>
      <c r="L157" s="327"/>
      <c r="M157" s="328"/>
    </row>
    <row r="158" spans="1:24" ht="16.5" thickBot="1" x14ac:dyDescent="0.3">
      <c r="B158" s="320" t="s">
        <v>147</v>
      </c>
      <c r="C158" s="321"/>
      <c r="D158" s="321"/>
      <c r="E158" s="321"/>
      <c r="F158" s="322"/>
      <c r="G158" s="11" t="s">
        <v>2</v>
      </c>
      <c r="H158" s="12" t="s">
        <v>3</v>
      </c>
      <c r="I158" s="181" t="s">
        <v>104</v>
      </c>
      <c r="J158" s="13" t="s">
        <v>101</v>
      </c>
      <c r="K158" s="14" t="s">
        <v>111</v>
      </c>
      <c r="L158" s="15" t="s">
        <v>102</v>
      </c>
      <c r="M158" s="16" t="s">
        <v>111</v>
      </c>
    </row>
    <row r="159" spans="1:24" outlineLevel="1" x14ac:dyDescent="0.25">
      <c r="B159" s="18" t="s">
        <v>4</v>
      </c>
      <c r="D159" s="5"/>
      <c r="E159" s="5"/>
      <c r="F159" s="5"/>
      <c r="G159" s="19">
        <f>G150+G107+G83+G4</f>
        <v>278546</v>
      </c>
      <c r="H159" s="20">
        <f>H150+H107+H83+H4</f>
        <v>299531</v>
      </c>
      <c r="I159" s="33">
        <f>I150+I107+I83+I4</f>
        <v>328934.58999999997</v>
      </c>
      <c r="J159" s="21">
        <f>J150+J107+J83+J4</f>
        <v>334455</v>
      </c>
      <c r="K159" s="22">
        <f>(I159-J159)/J159</f>
        <v>-1.6505688358673162E-2</v>
      </c>
      <c r="L159" s="23">
        <f>L150+L107+L83+L4</f>
        <v>398106.32666000002</v>
      </c>
      <c r="M159" s="24">
        <f>(L159-I159)/I159</f>
        <v>0.21029024846550817</v>
      </c>
    </row>
    <row r="160" spans="1:24" outlineLevel="3" x14ac:dyDescent="0.25">
      <c r="B160" s="18"/>
      <c r="C160" s="5"/>
      <c r="D160" s="5"/>
      <c r="E160" s="25" t="s">
        <v>5</v>
      </c>
      <c r="F160" s="5"/>
      <c r="G160" s="19">
        <f>G111+G8</f>
        <v>190592.06</v>
      </c>
      <c r="H160" s="20">
        <f>H111+H8</f>
        <v>191554.12</v>
      </c>
      <c r="I160" s="33">
        <f>I111+I8</f>
        <v>208792</v>
      </c>
      <c r="J160" s="21">
        <f>J111+J8</f>
        <v>205000</v>
      </c>
      <c r="K160" s="134">
        <f t="shared" ref="K160:K172" si="23">(I160-J160)/J160</f>
        <v>1.8497560975609756E-2</v>
      </c>
      <c r="L160" s="23">
        <f>L111+L8</f>
        <v>228000</v>
      </c>
      <c r="M160" s="135">
        <f t="shared" ref="M160:M172" si="24">(L160-I160)/I160</f>
        <v>9.1995861910418017E-2</v>
      </c>
    </row>
    <row r="161" spans="1:24" outlineLevel="3" x14ac:dyDescent="0.25">
      <c r="B161" s="18"/>
      <c r="C161" s="5"/>
      <c r="D161" s="5"/>
      <c r="E161" s="25" t="s">
        <v>9</v>
      </c>
      <c r="F161" s="5"/>
      <c r="G161" s="23">
        <f>G9</f>
        <v>60897.82</v>
      </c>
      <c r="H161" s="21">
        <f>H9</f>
        <v>77333.710000000006</v>
      </c>
      <c r="I161" s="33">
        <f>I9</f>
        <v>91810</v>
      </c>
      <c r="J161" s="21">
        <f>J9</f>
        <v>91000</v>
      </c>
      <c r="K161" s="136">
        <f t="shared" si="23"/>
        <v>8.9010989010989017E-3</v>
      </c>
      <c r="L161" s="23">
        <f>L9</f>
        <v>87000</v>
      </c>
      <c r="M161" s="137">
        <f t="shared" si="24"/>
        <v>-5.2390807101622916E-2</v>
      </c>
    </row>
    <row r="162" spans="1:24" outlineLevel="3" x14ac:dyDescent="0.25">
      <c r="B162" s="18"/>
      <c r="C162" s="5"/>
      <c r="D162" s="5"/>
      <c r="E162" s="25" t="s">
        <v>10</v>
      </c>
      <c r="F162" s="5"/>
      <c r="G162" s="19">
        <f>G115</f>
        <v>67728</v>
      </c>
      <c r="H162" s="20">
        <f>H115</f>
        <v>67872</v>
      </c>
      <c r="I162" s="33">
        <f>I115</f>
        <v>95324.333329999994</v>
      </c>
      <c r="J162" s="21">
        <f>J115</f>
        <v>95000</v>
      </c>
      <c r="K162" s="136">
        <f t="shared" si="23"/>
        <v>3.4140350526315161E-3</v>
      </c>
      <c r="L162" s="23">
        <f>L115</f>
        <v>125000</v>
      </c>
      <c r="M162" s="137">
        <f t="shared" si="24"/>
        <v>0.31131260648072773</v>
      </c>
    </row>
    <row r="163" spans="1:24" outlineLevel="3" x14ac:dyDescent="0.25">
      <c r="B163" s="18"/>
      <c r="C163" s="5"/>
      <c r="D163" s="5"/>
      <c r="E163" s="25" t="s">
        <v>14</v>
      </c>
      <c r="F163" s="5"/>
      <c r="G163" s="19">
        <f>G119+G17</f>
        <v>2131.4700000000003</v>
      </c>
      <c r="H163" s="20">
        <f>H119+H17</f>
        <v>437</v>
      </c>
      <c r="I163" s="182">
        <f>I119+I17</f>
        <v>583.85332999999991</v>
      </c>
      <c r="J163" s="21">
        <f>J119+J17</f>
        <v>-3000</v>
      </c>
      <c r="K163" s="136">
        <f t="shared" si="23"/>
        <v>-1.1946177766666666</v>
      </c>
      <c r="L163" s="23">
        <f>L119+L17</f>
        <v>-1000</v>
      </c>
      <c r="M163" s="137">
        <f t="shared" si="24"/>
        <v>-2.7127589218340162</v>
      </c>
    </row>
    <row r="164" spans="1:24" ht="16.5" outlineLevel="3" thickBot="1" x14ac:dyDescent="0.3">
      <c r="B164" s="35"/>
      <c r="C164" s="36"/>
      <c r="D164" s="36"/>
      <c r="E164" s="37" t="s">
        <v>22</v>
      </c>
      <c r="F164" s="38"/>
      <c r="G164" s="39">
        <f>G18</f>
        <v>11425.6</v>
      </c>
      <c r="H164" s="40">
        <f>H18</f>
        <v>12346.04</v>
      </c>
      <c r="I164" s="66">
        <f>I18</f>
        <v>13495.34</v>
      </c>
      <c r="J164" s="40">
        <f>J18</f>
        <v>13500</v>
      </c>
      <c r="K164" s="138">
        <f t="shared" si="23"/>
        <v>-3.451851851851744E-4</v>
      </c>
      <c r="L164" s="39">
        <f>L18</f>
        <v>14352</v>
      </c>
      <c r="M164" s="139">
        <f t="shared" si="24"/>
        <v>6.3478208033291475E-2</v>
      </c>
    </row>
    <row r="165" spans="1:24" outlineLevel="2" x14ac:dyDescent="0.25">
      <c r="B165" s="18"/>
      <c r="C165" s="5"/>
      <c r="D165" s="5" t="s">
        <v>23</v>
      </c>
      <c r="E165" s="5"/>
      <c r="F165" s="5"/>
      <c r="G165" s="44">
        <f>SUM(G160:G164)</f>
        <v>332774.94999999995</v>
      </c>
      <c r="H165" s="45">
        <f t="shared" ref="H165:J165" si="25">SUM(H160:H164)</f>
        <v>349542.87</v>
      </c>
      <c r="I165" s="64">
        <f t="shared" si="25"/>
        <v>410005.52666000003</v>
      </c>
      <c r="J165" s="45">
        <f t="shared" si="25"/>
        <v>401500</v>
      </c>
      <c r="K165" s="140">
        <f t="shared" si="23"/>
        <v>2.1184375242839434E-2</v>
      </c>
      <c r="L165" s="44">
        <f>SUM(L160:L164)</f>
        <v>453352</v>
      </c>
      <c r="M165" s="141">
        <f t="shared" si="24"/>
        <v>0.10572168061516238</v>
      </c>
      <c r="N165" s="2" t="s">
        <v>144</v>
      </c>
    </row>
    <row r="166" spans="1:24" outlineLevel="2" x14ac:dyDescent="0.25">
      <c r="B166" s="18"/>
      <c r="C166" s="5"/>
      <c r="D166" s="5"/>
      <c r="E166" s="25" t="s">
        <v>116</v>
      </c>
      <c r="F166" s="5"/>
      <c r="G166" s="23">
        <f>G126</f>
        <v>26496.9</v>
      </c>
      <c r="H166" s="21">
        <f>H126</f>
        <v>32380.63</v>
      </c>
      <c r="I166" s="33">
        <f>I126</f>
        <v>22015.82</v>
      </c>
      <c r="J166" s="21">
        <f>J126</f>
        <v>0</v>
      </c>
      <c r="K166" s="157"/>
      <c r="L166" s="23">
        <f>L126</f>
        <v>0</v>
      </c>
      <c r="M166" s="135">
        <f t="shared" si="24"/>
        <v>-1</v>
      </c>
    </row>
    <row r="167" spans="1:24" ht="16.5" outlineLevel="2" thickBot="1" x14ac:dyDescent="0.3">
      <c r="B167" s="35"/>
      <c r="C167" s="36"/>
      <c r="D167" s="36"/>
      <c r="E167" s="37" t="s">
        <v>30</v>
      </c>
      <c r="F167" s="36"/>
      <c r="G167" s="121">
        <f>G22</f>
        <v>368</v>
      </c>
      <c r="H167" s="84">
        <f>H22</f>
        <v>254</v>
      </c>
      <c r="I167" s="66">
        <f>I22</f>
        <v>417</v>
      </c>
      <c r="J167" s="40">
        <f>J22</f>
        <v>500</v>
      </c>
      <c r="K167" s="158">
        <f t="shared" si="23"/>
        <v>-0.16600000000000001</v>
      </c>
      <c r="L167" s="39">
        <f>L22</f>
        <v>300</v>
      </c>
      <c r="M167" s="139">
        <f t="shared" si="24"/>
        <v>-0.2805755395683453</v>
      </c>
    </row>
    <row r="168" spans="1:24" outlineLevel="1" x14ac:dyDescent="0.25">
      <c r="B168" s="18"/>
      <c r="C168" s="5" t="s">
        <v>34</v>
      </c>
      <c r="D168" s="5"/>
      <c r="E168" s="5"/>
      <c r="F168" s="5"/>
      <c r="G168" s="44">
        <f>SUM(G165:G167)</f>
        <v>359639.85</v>
      </c>
      <c r="H168" s="45">
        <f t="shared" ref="H168:J168" si="26">SUM(H165:H167)</f>
        <v>382177.5</v>
      </c>
      <c r="I168" s="64">
        <f t="shared" si="26"/>
        <v>432438.34666000004</v>
      </c>
      <c r="J168" s="45">
        <f t="shared" si="26"/>
        <v>402000</v>
      </c>
      <c r="K168" s="140">
        <f t="shared" si="23"/>
        <v>7.5717280248756319E-2</v>
      </c>
      <c r="L168" s="44">
        <f>SUM(L165:L167)</f>
        <v>453652</v>
      </c>
      <c r="M168" s="141">
        <f t="shared" si="24"/>
        <v>4.9055902428280639E-2</v>
      </c>
    </row>
    <row r="169" spans="1:24" outlineLevel="2" x14ac:dyDescent="0.25">
      <c r="B169" s="18"/>
      <c r="C169" s="5"/>
      <c r="D169" s="25" t="s">
        <v>36</v>
      </c>
      <c r="E169" s="5"/>
      <c r="F169" s="5"/>
      <c r="G169" s="23">
        <f>G129</f>
        <v>206.77</v>
      </c>
      <c r="H169" s="21">
        <f t="shared" ref="H169:J169" si="27">H129</f>
        <v>222.02</v>
      </c>
      <c r="I169" s="33">
        <f t="shared" si="27"/>
        <v>8210.18</v>
      </c>
      <c r="J169" s="21">
        <f t="shared" si="27"/>
        <v>205</v>
      </c>
      <c r="K169" s="134">
        <f t="shared" si="23"/>
        <v>39.049658536585369</v>
      </c>
      <c r="L169" s="23">
        <f>L129</f>
        <v>12000</v>
      </c>
      <c r="M169" s="135">
        <f t="shared" si="24"/>
        <v>0.46160011108160837</v>
      </c>
    </row>
    <row r="170" spans="1:24" outlineLevel="2" x14ac:dyDescent="0.25">
      <c r="B170" s="165"/>
      <c r="C170" s="166"/>
      <c r="D170" s="167" t="s">
        <v>38</v>
      </c>
      <c r="E170" s="166"/>
      <c r="F170" s="168"/>
      <c r="G170" s="96">
        <f>G86+G131</f>
        <v>0</v>
      </c>
      <c r="H170" s="52">
        <f>H86+H131</f>
        <v>11355.31</v>
      </c>
      <c r="I170" s="183">
        <f>I86+I131</f>
        <v>83280.61</v>
      </c>
      <c r="J170" s="28">
        <f>J86+J131</f>
        <v>185000</v>
      </c>
      <c r="K170" s="142">
        <f t="shared" si="23"/>
        <v>-0.54983454054054048</v>
      </c>
      <c r="L170" s="27">
        <f>L86+L131</f>
        <v>400000</v>
      </c>
      <c r="M170" s="49">
        <f t="shared" si="24"/>
        <v>3.8030387865794935</v>
      </c>
    </row>
    <row r="171" spans="1:24" ht="16.5" outlineLevel="1" thickBot="1" x14ac:dyDescent="0.3">
      <c r="B171" s="53"/>
      <c r="C171" s="37" t="s">
        <v>39</v>
      </c>
      <c r="D171" s="37"/>
      <c r="E171" s="37"/>
      <c r="F171" s="54"/>
      <c r="G171" s="50">
        <f>ROUND(SUM(G169:G170),5)</f>
        <v>206.77</v>
      </c>
      <c r="H171" s="51">
        <f t="shared" ref="H171:J171" si="28">ROUND(SUM(H169:H170),5)</f>
        <v>11577.33</v>
      </c>
      <c r="I171" s="184">
        <f t="shared" si="28"/>
        <v>91490.79</v>
      </c>
      <c r="J171" s="51">
        <f t="shared" si="28"/>
        <v>185205</v>
      </c>
      <c r="K171" s="143">
        <f t="shared" si="23"/>
        <v>-0.50600259172268569</v>
      </c>
      <c r="L171" s="50">
        <f>ROUND(SUM(L169:L170),5)</f>
        <v>412000</v>
      </c>
      <c r="M171" s="144">
        <f t="shared" si="24"/>
        <v>3.5031855118968811</v>
      </c>
    </row>
    <row r="172" spans="1:24" x14ac:dyDescent="0.25">
      <c r="B172" s="18" t="s">
        <v>40</v>
      </c>
      <c r="C172" s="5"/>
      <c r="D172" s="5"/>
      <c r="E172" s="5"/>
      <c r="F172" s="5"/>
      <c r="G172" s="44">
        <f>ROUND(SUM(G159:G159)+G168+G171,5)</f>
        <v>638392.62</v>
      </c>
      <c r="H172" s="45">
        <f>ROUND(SUM(H159:H159)+H168+H171,5)</f>
        <v>693285.83</v>
      </c>
      <c r="I172" s="64">
        <f>ROUND(SUM(I159:I159)+I168+I171,5)</f>
        <v>852863.72666000004</v>
      </c>
      <c r="J172" s="45">
        <f>ROUND(SUM(J159:J159)+J168+J171,5)</f>
        <v>921660</v>
      </c>
      <c r="K172" s="140">
        <f t="shared" si="23"/>
        <v>-7.4643874465638041E-2</v>
      </c>
      <c r="L172" s="44">
        <f>ROUND(SUM(L159:L159)+L168+L171,5)</f>
        <v>1263758.32666</v>
      </c>
      <c r="M172" s="141">
        <f t="shared" si="24"/>
        <v>0.48178224393380248</v>
      </c>
    </row>
    <row r="173" spans="1:24" s="9" customFormat="1" outlineLevel="3" x14ac:dyDescent="0.25">
      <c r="A173" s="5"/>
      <c r="B173" s="65"/>
      <c r="C173" s="25" t="s">
        <v>42</v>
      </c>
      <c r="D173" s="25"/>
      <c r="E173" s="25"/>
      <c r="F173" s="25"/>
      <c r="G173" s="23">
        <f>G34</f>
        <v>121308.18</v>
      </c>
      <c r="H173" s="21">
        <f>H34</f>
        <v>122857.07</v>
      </c>
      <c r="I173" s="33">
        <f>I34</f>
        <v>130600</v>
      </c>
      <c r="J173" s="21">
        <f>J34</f>
        <v>132878</v>
      </c>
      <c r="K173" s="22">
        <f>(I173-J173)/J173</f>
        <v>-1.7143545206881501E-2</v>
      </c>
      <c r="L173" s="23">
        <f>L34</f>
        <v>140750</v>
      </c>
      <c r="M173" s="24">
        <f>(L173-I173)/I173</f>
        <v>7.7718223583460949E-2</v>
      </c>
    </row>
    <row r="174" spans="1:24" outlineLevel="3" x14ac:dyDescent="0.25">
      <c r="A174" s="5"/>
      <c r="B174" s="65"/>
      <c r="C174" s="25" t="s">
        <v>48</v>
      </c>
      <c r="D174" s="25"/>
      <c r="E174" s="25"/>
      <c r="F174" s="25"/>
      <c r="G174" s="23">
        <f>G49</f>
        <v>34521.370000000003</v>
      </c>
      <c r="H174" s="21">
        <f>H49</f>
        <v>31262.29</v>
      </c>
      <c r="I174" s="33">
        <f>I49</f>
        <v>34404.870000000003</v>
      </c>
      <c r="J174" s="21">
        <f>J49</f>
        <v>33100</v>
      </c>
      <c r="K174" s="22">
        <f>(I174-J174)/J174</f>
        <v>3.9422054380664734E-2</v>
      </c>
      <c r="L174" s="23">
        <f>L49</f>
        <v>41700</v>
      </c>
      <c r="M174" s="24">
        <f>(L174-I174)/I174</f>
        <v>0.21203771442821895</v>
      </c>
      <c r="N174" s="192" t="s">
        <v>143</v>
      </c>
      <c r="X174" s="2"/>
    </row>
    <row r="175" spans="1:24" outlineLevel="3" x14ac:dyDescent="0.25">
      <c r="A175" s="5"/>
      <c r="B175" s="65"/>
      <c r="C175" s="25" t="s">
        <v>63</v>
      </c>
      <c r="D175" s="25"/>
      <c r="E175" s="25"/>
      <c r="F175" s="25"/>
      <c r="G175" s="23">
        <f>G67</f>
        <v>70769.53</v>
      </c>
      <c r="H175" s="21">
        <f>H67</f>
        <v>51478.720000000001</v>
      </c>
      <c r="I175" s="33">
        <f>I67</f>
        <v>57668.78</v>
      </c>
      <c r="J175" s="21">
        <f>J67</f>
        <v>55151</v>
      </c>
      <c r="K175" s="22">
        <f t="shared" ref="K175:K180" si="29">(I175-J175)/J175</f>
        <v>4.5652481369331449E-2</v>
      </c>
      <c r="L175" s="23">
        <f>L67</f>
        <v>48070</v>
      </c>
      <c r="M175" s="24">
        <f>(L175-I175)/I175</f>
        <v>-0.16644673253014888</v>
      </c>
      <c r="X175" s="2"/>
    </row>
    <row r="176" spans="1:24" s="9" customFormat="1" outlineLevel="3" x14ac:dyDescent="0.25">
      <c r="A176" s="5"/>
      <c r="B176" s="65"/>
      <c r="C176" s="25" t="s">
        <v>81</v>
      </c>
      <c r="D176" s="25"/>
      <c r="E176" s="25"/>
      <c r="F176" s="25"/>
      <c r="G176" s="23">
        <f>G72</f>
        <v>16764.18</v>
      </c>
      <c r="H176" s="21">
        <f>H72</f>
        <v>17291.45</v>
      </c>
      <c r="I176" s="33">
        <f>I72</f>
        <v>17932.95</v>
      </c>
      <c r="J176" s="21">
        <f>J72</f>
        <v>29100</v>
      </c>
      <c r="K176" s="22">
        <f>(I176-J176)/J176</f>
        <v>-0.38374742268041234</v>
      </c>
      <c r="L176" s="23">
        <f>L72</f>
        <v>29900</v>
      </c>
      <c r="M176" s="24">
        <f t="shared" ref="M176:M180" si="30">(L176-I176)/I176</f>
        <v>0.66732188513323232</v>
      </c>
      <c r="N176" s="2" t="s">
        <v>142</v>
      </c>
    </row>
    <row r="177" spans="1:24" outlineLevel="3" x14ac:dyDescent="0.25">
      <c r="B177" s="65"/>
      <c r="C177" s="25" t="s">
        <v>108</v>
      </c>
      <c r="D177" s="25"/>
      <c r="E177" s="25"/>
      <c r="F177" s="25"/>
      <c r="G177" s="19">
        <f>G141+G97</f>
        <v>43130.07</v>
      </c>
      <c r="H177" s="20">
        <f>H141+H97</f>
        <v>70407.05</v>
      </c>
      <c r="I177" s="185">
        <f>I141+I97</f>
        <v>149718.60999999999</v>
      </c>
      <c r="J177" s="20">
        <f>J141+J97</f>
        <v>228000</v>
      </c>
      <c r="K177" s="31">
        <f t="shared" si="29"/>
        <v>-0.34333942982456145</v>
      </c>
      <c r="L177" s="23">
        <f>L141+L97</f>
        <v>536500</v>
      </c>
      <c r="M177" s="32">
        <f t="shared" si="30"/>
        <v>2.5833888652853512</v>
      </c>
      <c r="X177" s="2"/>
    </row>
    <row r="178" spans="1:24" ht="16.5" outlineLevel="3" thickBot="1" x14ac:dyDescent="0.3">
      <c r="A178" s="25"/>
      <c r="B178" s="146"/>
      <c r="C178" s="37" t="s">
        <v>98</v>
      </c>
      <c r="D178" s="37"/>
      <c r="E178" s="37"/>
      <c r="F178" s="123"/>
      <c r="G178" s="39">
        <f>G153+G152+G144+G101</f>
        <v>52367.61</v>
      </c>
      <c r="H178" s="40">
        <f>H153+H152+H144+H101</f>
        <v>71055.11</v>
      </c>
      <c r="I178" s="66">
        <f>I153+I152+I144+I101</f>
        <v>64432.19</v>
      </c>
      <c r="J178" s="40">
        <f>J153+J152+J144+J101</f>
        <v>64404</v>
      </c>
      <c r="K178" s="41">
        <f t="shared" si="29"/>
        <v>4.3770573256323098E-4</v>
      </c>
      <c r="L178" s="39">
        <f>L153+L152+L144+L101</f>
        <v>63000</v>
      </c>
      <c r="M178" s="43">
        <f t="shared" si="30"/>
        <v>-2.2227864674474084E-2</v>
      </c>
      <c r="N178" s="4"/>
      <c r="X178" s="2"/>
    </row>
    <row r="179" spans="1:24" s="9" customFormat="1" ht="16.5" thickBot="1" x14ac:dyDescent="0.3">
      <c r="A179" s="5"/>
      <c r="B179" s="151"/>
      <c r="C179" s="152" t="s">
        <v>99</v>
      </c>
      <c r="D179" s="152"/>
      <c r="E179" s="152"/>
      <c r="F179" s="153"/>
      <c r="G179" s="159">
        <f>SUM(G173:G178)</f>
        <v>338860.93999999994</v>
      </c>
      <c r="H179" s="154">
        <f t="shared" ref="H179:J179" si="31">SUM(H173:H178)</f>
        <v>364351.69</v>
      </c>
      <c r="I179" s="186">
        <f t="shared" si="31"/>
        <v>454757.39999999997</v>
      </c>
      <c r="J179" s="154">
        <f t="shared" si="31"/>
        <v>542633</v>
      </c>
      <c r="K179" s="155">
        <f t="shared" si="29"/>
        <v>-0.16194297066341345</v>
      </c>
      <c r="L179" s="159">
        <f>SUM(L173:L178)</f>
        <v>859920</v>
      </c>
      <c r="M179" s="156">
        <f t="shared" si="30"/>
        <v>0.89094229142835291</v>
      </c>
      <c r="N179" s="147"/>
    </row>
    <row r="180" spans="1:24" s="148" customFormat="1" ht="16.5" thickBot="1" x14ac:dyDescent="0.3">
      <c r="A180" s="145"/>
      <c r="B180" s="177" t="str">
        <f>B154</f>
        <v>ENDING FUND BALANCE</v>
      </c>
      <c r="C180" s="150"/>
      <c r="D180" s="150"/>
      <c r="E180" s="150"/>
      <c r="F180" s="150"/>
      <c r="G180" s="159">
        <f>G172-G179</f>
        <v>299531.68000000005</v>
      </c>
      <c r="H180" s="154">
        <f>H172-H179</f>
        <v>328934.13999999996</v>
      </c>
      <c r="I180" s="186">
        <f>I172-I179</f>
        <v>398106.32666000008</v>
      </c>
      <c r="J180" s="154">
        <f>J172-J179</f>
        <v>379027</v>
      </c>
      <c r="K180" s="155">
        <f t="shared" si="29"/>
        <v>5.0337645233717067E-2</v>
      </c>
      <c r="L180" s="159">
        <f>L172-L179</f>
        <v>403838.32666000002</v>
      </c>
      <c r="M180" s="156">
        <f t="shared" si="30"/>
        <v>1.439816354613052E-2</v>
      </c>
      <c r="X180" s="149"/>
    </row>
    <row r="181" spans="1:24" ht="17.25" thickTop="1" thickBot="1" x14ac:dyDescent="0.3">
      <c r="B181" s="81"/>
      <c r="C181" s="82" t="str">
        <f>C155</f>
        <v>"Italics" are rough estimate as of Feb 2024</v>
      </c>
      <c r="D181" s="124"/>
      <c r="E181" s="124"/>
      <c r="F181" s="124"/>
      <c r="G181" s="125"/>
      <c r="H181" s="125"/>
      <c r="I181" s="125"/>
      <c r="J181" s="125"/>
      <c r="K181" s="85"/>
      <c r="L181" s="125"/>
      <c r="M181" s="86"/>
    </row>
  </sheetData>
  <mergeCells count="15">
    <mergeCell ref="G2:M2"/>
    <mergeCell ref="G157:M157"/>
    <mergeCell ref="G148:M148"/>
    <mergeCell ref="G81:L81"/>
    <mergeCell ref="G105:L105"/>
    <mergeCell ref="B2:F2"/>
    <mergeCell ref="B3:F3"/>
    <mergeCell ref="B81:F81"/>
    <mergeCell ref="B82:F82"/>
    <mergeCell ref="B105:F105"/>
    <mergeCell ref="B106:F106"/>
    <mergeCell ref="B148:F148"/>
    <mergeCell ref="B149:F149"/>
    <mergeCell ref="B157:F157"/>
    <mergeCell ref="B158:F158"/>
  </mergeCells>
  <pageMargins left="0.25" right="0.25" top="0.5" bottom="0.25" header="0.1" footer="0.05"/>
  <pageSetup scale="75" fitToHeight="0" orientation="portrait" r:id="rId1"/>
  <headerFooter>
    <oddFooter>&amp;R&amp;"Arial,Bold"&amp;8 Page &amp;P of &amp;N</oddFooter>
  </headerFooter>
  <rowBreaks count="1" manualBreakCount="1">
    <brk id="103" max="16383" man="1"/>
  </rowBreaks>
  <drawing r:id="rId2"/>
  <legacyDrawing r:id="rId3"/>
  <controls>
    <mc:AlternateContent xmlns:mc="http://schemas.openxmlformats.org/markup-compatibility/2006">
      <mc:Choice Requires="x14">
        <control shapeId="1025" r:id="rId4" name="FILTER">
          <controlPr defaultSize="0" autoLine="0" r:id="rId5">
            <anchor moveWithCells="1">
              <from>
                <xdr:col>0</xdr:col>
                <xdr:colOff>0</xdr:colOff>
                <xdr:row>2</xdr:row>
                <xdr:rowOff>0</xdr:rowOff>
              </from>
              <to>
                <xdr:col>4</xdr:col>
                <xdr:colOff>133350</xdr:colOff>
                <xdr:row>3</xdr:row>
                <xdr:rowOff>19050</xdr:rowOff>
              </to>
            </anchor>
          </controlPr>
        </control>
      </mc:Choice>
      <mc:Fallback>
        <control shapeId="1025" r:id="rId4" name="FILTER"/>
      </mc:Fallback>
    </mc:AlternateContent>
    <mc:AlternateContent xmlns:mc="http://schemas.openxmlformats.org/markup-compatibility/2006">
      <mc:Choice Requires="x14">
        <control shapeId="1026" r:id="rId6" name="HEADER">
          <controlPr defaultSize="0" autoLine="0" r:id="rId7">
            <anchor moveWithCells="1">
              <from>
                <xdr:col>0</xdr:col>
                <xdr:colOff>0</xdr:colOff>
                <xdr:row>2</xdr:row>
                <xdr:rowOff>0</xdr:rowOff>
              </from>
              <to>
                <xdr:col>4</xdr:col>
                <xdr:colOff>133350</xdr:colOff>
                <xdr:row>3</xdr:row>
                <xdr:rowOff>19050</xdr:rowOff>
              </to>
            </anchor>
          </controlPr>
        </control>
      </mc:Choice>
      <mc:Fallback>
        <control shapeId="1026" r:id="rId6" name="HEADER"/>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2024-25 Proposed Budget</vt:lpstr>
      <vt:lpstr>2024-25 Budget Detail Sheet</vt:lpstr>
      <vt:lpstr>'2024-25 Budget Detail Sheet'!Print_Area</vt:lpstr>
      <vt:lpstr>'2024-25 Proposed Budget'!Print_Area</vt:lpstr>
      <vt:lpstr>'2024-25 Budget Detail Sheet'!Print_Titles</vt:lpstr>
      <vt:lpstr>'2024-25 Proposed 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 Currie</dc:creator>
  <cp:lastModifiedBy>Todd Currie</cp:lastModifiedBy>
  <cp:lastPrinted>2024-05-02T23:01:29Z</cp:lastPrinted>
  <dcterms:created xsi:type="dcterms:W3CDTF">2024-02-06T05:16:46Z</dcterms:created>
  <dcterms:modified xsi:type="dcterms:W3CDTF">2024-05-23T17:03:18Z</dcterms:modified>
</cp:coreProperties>
</file>